
<file path=[Content_Types].xml><?xml version="1.0" encoding="utf-8"?>
<Types xmlns="http://schemas.openxmlformats.org/package/2006/content-types">
  <Default Extension="bin" ContentType="application/vnd.openxmlformats-officedocument.spreadsheetml.printerSettings"/>
  <Default Extension="gif" ContentType="image/gi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tables/table2.xml" ContentType="application/vnd.openxmlformats-officedocument.spreadsheetml.tab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tables/table3.xml" ContentType="application/vnd.openxmlformats-officedocument.spreadsheetml.table+xml"/>
  <Override PartName="/xl/drawings/drawing8.xml" ContentType="application/vnd.openxmlformats-officedocument.drawing+xml"/>
  <Override PartName="/xl/tables/table4.xml" ContentType="application/vnd.openxmlformats-officedocument.spreadsheetml.table+xml"/>
  <Override PartName="/xl/drawings/drawing9.xml" ContentType="application/vnd.openxmlformats-officedocument.drawing+xml"/>
  <Override PartName="/xl/drawings/drawing10.xml" ContentType="application/vnd.openxmlformats-officedocument.drawing+xml"/>
  <Override PartName="/xl/tables/table5.xml" ContentType="application/vnd.openxmlformats-officedocument.spreadsheetml.table+xml"/>
  <Override PartName="/xl/drawings/drawing11.xml" ContentType="application/vnd.openxmlformats-officedocument.drawing+xml"/>
  <Override PartName="/xl/tables/table6.xml" ContentType="application/vnd.openxmlformats-officedocument.spreadsheetml.table+xml"/>
  <Override PartName="/xl/slicers/slicer1.xml" ContentType="application/vnd.ms-excel.slicer+xml"/>
  <Override PartName="/xl/drawings/drawing12.xml" ContentType="application/vnd.openxmlformats-officedocument.drawing+xml"/>
  <Override PartName="/xl/tables/table7.xml" ContentType="application/vnd.openxmlformats-officedocument.spreadsheetml.table+xml"/>
  <Override PartName="/xl/drawings/drawing13.xml" ContentType="application/vnd.openxmlformats-officedocument.drawing+xml"/>
  <Override PartName="/xl/tables/table8.xml" ContentType="application/vnd.openxmlformats-officedocument.spreadsheetml.table+xml"/>
  <Override PartName="/xl/slicers/slicer2.xml" ContentType="application/vnd.ms-excel.slicer+xml"/>
  <Override PartName="/xl/drawings/drawing14.xml" ContentType="application/vnd.openxmlformats-officedocument.drawing+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tables/table29.xml" ContentType="application/vnd.openxmlformats-officedocument.spreadsheetml.table+xml"/>
  <Override PartName="/xl/drawings/drawing18.xml" ContentType="application/vnd.openxmlformats-officedocument.drawing+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tables/table38.xml" ContentType="application/vnd.openxmlformats-officedocument.spreadsheetml.table+xml"/>
  <Override PartName="/xl/drawings/drawing19.xml" ContentType="application/vnd.openxmlformats-officedocument.drawing+xml"/>
  <Override PartName="/xl/drawings/drawing20.xml" ContentType="application/vnd.openxmlformats-officedocument.drawing+xml"/>
  <Override PartName="/xl/tables/table39.xml" ContentType="application/vnd.openxmlformats-officedocument.spreadsheetml.table+xml"/>
  <Override PartName="/xl/drawings/drawing21.xml" ContentType="application/vnd.openxmlformats-officedocument.drawing+xml"/>
  <Override PartName="/xl/tables/table40.xml" ContentType="application/vnd.openxmlformats-officedocument.spreadsheetml.table+xml"/>
  <Override PartName="/xl/tables/table41.xml" ContentType="application/vnd.openxmlformats-officedocument.spreadsheetml.table+xml"/>
  <Override PartName="/xl/tables/table42.xml" ContentType="application/vnd.openxmlformats-officedocument.spreadsheetml.table+xml"/>
  <Override PartName="/xl/tables/table43.xml" ContentType="application/vnd.openxmlformats-officedocument.spreadsheetml.table+xml"/>
  <Override PartName="/xl/tables/table44.xml" ContentType="application/vnd.openxmlformats-officedocument.spreadsheetml.table+xml"/>
  <Override PartName="/xl/tables/table45.xml" ContentType="application/vnd.openxmlformats-officedocument.spreadsheetml.table+xml"/>
  <Override PartName="/xl/tables/table46.xml" ContentType="application/vnd.openxmlformats-officedocument.spreadsheetml.table+xml"/>
  <Override PartName="/xl/tables/table47.xml" ContentType="application/vnd.openxmlformats-officedocument.spreadsheetml.table+xml"/>
  <Override PartName="/xl/tables/table48.xml" ContentType="application/vnd.openxmlformats-officedocument.spreadsheetml.table+xml"/>
  <Override PartName="/xl/tables/table49.xml" ContentType="application/vnd.openxmlformats-officedocument.spreadsheetml.table+xml"/>
  <Override PartName="/xl/tables/table50.xml" ContentType="application/vnd.openxmlformats-officedocument.spreadsheetml.table+xml"/>
  <Override PartName="/xl/tables/table51.xml" ContentType="application/vnd.openxmlformats-officedocument.spreadsheetml.table+xml"/>
  <Override PartName="/xl/tables/table52.xml" ContentType="application/vnd.openxmlformats-officedocument.spreadsheetml.table+xml"/>
  <Override PartName="/xl/tables/table53.xml" ContentType="application/vnd.openxmlformats-officedocument.spreadsheetml.table+xml"/>
  <Override PartName="/xl/tables/table54.xml" ContentType="application/vnd.openxmlformats-officedocument.spreadsheetml.table+xml"/>
  <Override PartName="/xl/tables/table55.xml" ContentType="application/vnd.openxmlformats-officedocument.spreadsheetml.table+xml"/>
  <Override PartName="/xl/tables/table56.xml" ContentType="application/vnd.openxmlformats-officedocument.spreadsheetml.table+xml"/>
  <Override PartName="/xl/tables/table57.xml" ContentType="application/vnd.openxmlformats-officedocument.spreadsheetml.table+xml"/>
  <Override PartName="/xl/tables/table58.xml" ContentType="application/vnd.openxmlformats-officedocument.spreadsheetml.table+xml"/>
  <Override PartName="/xl/tables/table59.xml" ContentType="application/vnd.openxmlformats-officedocument.spreadsheetml.table+xml"/>
  <Override PartName="/xl/tables/table60.xml" ContentType="application/vnd.openxmlformats-officedocument.spreadsheetml.table+xml"/>
  <Override PartName="/xl/tables/table61.xml" ContentType="application/vnd.openxmlformats-officedocument.spreadsheetml.table+xml"/>
  <Override PartName="/xl/tables/table62.xml" ContentType="application/vnd.openxmlformats-officedocument.spreadsheetml.table+xml"/>
  <Override PartName="/xl/tables/table63.xml" ContentType="application/vnd.openxmlformats-officedocument.spreadsheetml.table+xml"/>
  <Override PartName="/xl/drawings/drawing22.xml" ContentType="application/vnd.openxmlformats-officedocument.drawing+xml"/>
  <Override PartName="/xl/tables/table64.xml" ContentType="application/vnd.openxmlformats-officedocument.spreadsheetml.table+xml"/>
  <Override PartName="/xl/tables/table65.xml" ContentType="application/vnd.openxmlformats-officedocument.spreadsheetml.table+xml"/>
  <Override PartName="/xl/tables/table66.xml" ContentType="application/vnd.openxmlformats-officedocument.spreadsheetml.table+xml"/>
  <Override PartName="/xl/tables/table67.xml" ContentType="application/vnd.openxmlformats-officedocument.spreadsheetml.table+xml"/>
  <Override PartName="/xl/tables/table68.xml" ContentType="application/vnd.openxmlformats-officedocument.spreadsheetml.table+xml"/>
  <Override PartName="/xl/tables/table69.xml" ContentType="application/vnd.openxmlformats-officedocument.spreadsheetml.table+xml"/>
  <Override PartName="/xl/tables/table70.xml" ContentType="application/vnd.openxmlformats-officedocument.spreadsheetml.table+xml"/>
  <Override PartName="/xl/tables/table71.xml" ContentType="application/vnd.openxmlformats-officedocument.spreadsheetml.table+xml"/>
  <Override PartName="/xl/tables/table72.xml" ContentType="application/vnd.openxmlformats-officedocument.spreadsheetml.table+xml"/>
  <Override PartName="/xl/tables/table73.xml" ContentType="application/vnd.openxmlformats-officedocument.spreadsheetml.table+xml"/>
  <Override PartName="/xl/tables/table74.xml" ContentType="application/vnd.openxmlformats-officedocument.spreadsheetml.table+xml"/>
  <Override PartName="/xl/tables/table75.xml" ContentType="application/vnd.openxmlformats-officedocument.spreadsheetml.table+xml"/>
  <Override PartName="/xl/tables/table76.xml" ContentType="application/vnd.openxmlformats-officedocument.spreadsheetml.table+xml"/>
  <Override PartName="/xl/tables/table77.xml" ContentType="application/vnd.openxmlformats-officedocument.spreadsheetml.table+xml"/>
  <Override PartName="/xl/tables/table78.xml" ContentType="application/vnd.openxmlformats-officedocument.spreadsheetml.table+xml"/>
  <Override PartName="/xl/tables/table79.xml" ContentType="application/vnd.openxmlformats-officedocument.spreadsheetml.table+xml"/>
  <Override PartName="/xl/tables/table80.xml" ContentType="application/vnd.openxmlformats-officedocument.spreadsheetml.table+xml"/>
  <Override PartName="/xl/tables/table81.xml" ContentType="application/vnd.openxmlformats-officedocument.spreadsheetml.table+xml"/>
  <Override PartName="/xl/tables/table82.xml" ContentType="application/vnd.openxmlformats-officedocument.spreadsheetml.table+xml"/>
  <Override PartName="/xl/tables/table83.xml" ContentType="application/vnd.openxmlformats-officedocument.spreadsheetml.table+xml"/>
  <Override PartName="/xl/tables/table84.xml" ContentType="application/vnd.openxmlformats-officedocument.spreadsheetml.table+xml"/>
  <Override PartName="/xl/tables/table85.xml" ContentType="application/vnd.openxmlformats-officedocument.spreadsheetml.table+xml"/>
  <Override PartName="/xl/tables/table86.xml" ContentType="application/vnd.openxmlformats-officedocument.spreadsheetml.table+xml"/>
  <Override PartName="/xl/tables/table87.xml" ContentType="application/vnd.openxmlformats-officedocument.spreadsheetml.table+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tables/table88.xml" ContentType="application/vnd.openxmlformats-officedocument.spreadsheetml.table+xml"/>
  <Override PartName="/xl/slicers/slicer3.xml" ContentType="application/vnd.ms-excel.slicer+xml"/>
  <Override PartName="/xl/drawings/drawing26.xml" ContentType="application/vnd.openxmlformats-officedocument.drawing+xml"/>
  <Override PartName="/xl/tables/table89.xml" ContentType="application/vnd.openxmlformats-officedocument.spreadsheetml.table+xml"/>
  <Override PartName="/xl/drawings/drawing27.xml" ContentType="application/vnd.openxmlformats-officedocument.drawing+xml"/>
  <Override PartName="/xl/tables/table90.xml" ContentType="application/vnd.openxmlformats-officedocument.spreadsheetml.table+xml"/>
  <Override PartName="/xl/drawings/drawing28.xml" ContentType="application/vnd.openxmlformats-officedocument.drawing+xml"/>
  <Override PartName="/xl/tables/table91.xml" ContentType="application/vnd.openxmlformats-officedocument.spreadsheetml.table+xml"/>
  <Override PartName="/xl/drawings/drawing29.xml" ContentType="application/vnd.openxmlformats-officedocument.drawing+xml"/>
  <Override PartName="/xl/drawings/drawing30.xml" ContentType="application/vnd.openxmlformats-officedocument.drawing+xml"/>
  <Override PartName="/xl/tables/table92.xml" ContentType="application/vnd.openxmlformats-officedocument.spreadsheetml.table+xml"/>
  <Override PartName="/xl/drawings/drawing31.xml" ContentType="application/vnd.openxmlformats-officedocument.drawing+xml"/>
  <Override PartName="/xl/tables/table93.xml" ContentType="application/vnd.openxmlformats-officedocument.spreadsheetml.table+xml"/>
  <Override PartName="/xl/slicers/slicer4.xml" ContentType="application/vnd.ms-excel.slicer+xml"/>
  <Override PartName="/xl/drawings/drawing32.xml" ContentType="application/vnd.openxmlformats-officedocument.drawing+xml"/>
  <Override PartName="/xl/tables/table94.xml" ContentType="application/vnd.openxmlformats-officedocument.spreadsheetml.table+xml"/>
  <Override PartName="/xl/drawings/drawing33.xml" ContentType="application/vnd.openxmlformats-officedocument.drawing+xml"/>
  <Override PartName="/xl/tables/table95.xml" ContentType="application/vnd.openxmlformats-officedocument.spreadsheetml.table+xml"/>
  <Override PartName="/xl/tables/table96.xml" ContentType="application/vnd.openxmlformats-officedocument.spreadsheetml.table+xml"/>
  <Override PartName="/xl/drawings/drawing34.xml" ContentType="application/vnd.openxmlformats-officedocument.drawing+xml"/>
  <Override PartName="/xl/tables/table97.xml" ContentType="application/vnd.openxmlformats-officedocument.spreadsheetml.table+xml"/>
  <Override PartName="/xl/tables/table98.xml" ContentType="application/vnd.openxmlformats-officedocument.spreadsheetml.table+xml"/>
  <Override PartName="/xl/tables/table99.xml" ContentType="application/vnd.openxmlformats-officedocument.spreadsheetml.table+xml"/>
  <Override PartName="/xl/tables/table100.xml" ContentType="application/vnd.openxmlformats-officedocument.spreadsheetml.table+xml"/>
  <Override PartName="/xl/tables/table101.xml" ContentType="application/vnd.openxmlformats-officedocument.spreadsheetml.table+xml"/>
  <Override PartName="/xl/tables/table102.xml" ContentType="application/vnd.openxmlformats-officedocument.spreadsheetml.table+xml"/>
  <Override PartName="/xl/tables/table103.xml" ContentType="application/vnd.openxmlformats-officedocument.spreadsheetml.table+xml"/>
  <Override PartName="/xl/tables/table104.xml" ContentType="application/vnd.openxmlformats-officedocument.spreadsheetml.table+xml"/>
  <Override PartName="/xl/tables/table105.xml" ContentType="application/vnd.openxmlformats-officedocument.spreadsheetml.table+xml"/>
  <Override PartName="/xl/tables/table106.xml" ContentType="application/vnd.openxmlformats-officedocument.spreadsheetml.table+xml"/>
  <Override PartName="/xl/tables/table107.xml" ContentType="application/vnd.openxmlformats-officedocument.spreadsheetml.table+xml"/>
  <Override PartName="/xl/tables/table108.xml" ContentType="application/vnd.openxmlformats-officedocument.spreadsheetml.table+xml"/>
  <Override PartName="/xl/drawings/drawing35.xml" ContentType="application/vnd.openxmlformats-officedocument.drawing+xml"/>
  <Override PartName="/xl/tables/table109.xml" ContentType="application/vnd.openxmlformats-officedocument.spreadsheetml.table+xml"/>
  <Override PartName="/xl/drawings/drawing36.xml" ContentType="application/vnd.openxmlformats-officedocument.drawing+xml"/>
  <Override PartName="/xl/drawings/drawing37.xml" ContentType="application/vnd.openxmlformats-officedocument.drawing+xml"/>
  <Override PartName="/xl/tables/table110.xml" ContentType="application/vnd.openxmlformats-officedocument.spreadsheetml.table+xml"/>
  <Override PartName="/xl/drawings/drawing38.xml" ContentType="application/vnd.openxmlformats-officedocument.drawing+xml"/>
  <Override PartName="/xl/tables/table111.xml" ContentType="application/vnd.openxmlformats-officedocument.spreadsheetml.table+xml"/>
  <Override PartName="/xl/drawings/drawing39.xml" ContentType="application/vnd.openxmlformats-officedocument.drawing+xml"/>
  <Override PartName="/xl/tables/table112.xml" ContentType="application/vnd.openxmlformats-officedocument.spreadsheetml.table+xml"/>
  <Override PartName="/xl/tables/table113.xml" ContentType="application/vnd.openxmlformats-officedocument.spreadsheetml.table+xml"/>
  <Override PartName="/xl/tables/table114.xml" ContentType="application/vnd.openxmlformats-officedocument.spreadsheetml.table+xml"/>
  <Override PartName="/xl/tables/table115.xml" ContentType="application/vnd.openxmlformats-officedocument.spreadsheetml.table+xml"/>
  <Override PartName="/xl/tables/table116.xml" ContentType="application/vnd.openxmlformats-officedocument.spreadsheetml.table+xml"/>
  <Override PartName="/xl/tables/table117.xml" ContentType="application/vnd.openxmlformats-officedocument.spreadsheetml.table+xml"/>
  <Override PartName="/xl/tables/table118.xml" ContentType="application/vnd.openxmlformats-officedocument.spreadsheetml.table+xml"/>
  <Override PartName="/xl/tables/table119.xml" ContentType="application/vnd.openxmlformats-officedocument.spreadsheetml.table+xml"/>
  <Override PartName="/xl/tables/table120.xml" ContentType="application/vnd.openxmlformats-officedocument.spreadsheetml.table+xml"/>
  <Override PartName="/xl/tables/table121.xml" ContentType="application/vnd.openxmlformats-officedocument.spreadsheetml.table+xml"/>
  <Override PartName="/xl/tables/table122.xml" ContentType="application/vnd.openxmlformats-officedocument.spreadsheetml.table+xml"/>
  <Override PartName="/xl/tables/table123.xml" ContentType="application/vnd.openxmlformats-officedocument.spreadsheetml.table+xml"/>
  <Override PartName="/xl/tables/table124.xml" ContentType="application/vnd.openxmlformats-officedocument.spreadsheetml.table+xml"/>
  <Override PartName="/xl/tables/table125.xml" ContentType="application/vnd.openxmlformats-officedocument.spreadsheetml.table+xml"/>
  <Override PartName="/xl/tables/table126.xml" ContentType="application/vnd.openxmlformats-officedocument.spreadsheetml.table+xml"/>
  <Override PartName="/xl/tables/table127.xml" ContentType="application/vnd.openxmlformats-officedocument.spreadsheetml.table+xml"/>
  <Override PartName="/xl/tables/table128.xml" ContentType="application/vnd.openxmlformats-officedocument.spreadsheetml.table+xml"/>
  <Override PartName="/xl/tables/table129.xml" ContentType="application/vnd.openxmlformats-officedocument.spreadsheetml.table+xml"/>
  <Override PartName="/xl/tables/table130.xml" ContentType="application/vnd.openxmlformats-officedocument.spreadsheetml.table+xml"/>
  <Override PartName="/xl/tables/table131.xml" ContentType="application/vnd.openxmlformats-officedocument.spreadsheetml.table+xml"/>
  <Override PartName="/xl/tables/table132.xml" ContentType="application/vnd.openxmlformats-officedocument.spreadsheetml.table+xml"/>
  <Override PartName="/xl/tables/table133.xml" ContentType="application/vnd.openxmlformats-officedocument.spreadsheetml.table+xml"/>
  <Override PartName="/xl/tables/table134.xml" ContentType="application/vnd.openxmlformats-officedocument.spreadsheetml.table+xml"/>
  <Override PartName="/xl/tables/table135.xml" ContentType="application/vnd.openxmlformats-officedocument.spreadsheetml.table+xml"/>
  <Override PartName="/xl/calcChain.xml" ContentType="application/vnd.openxmlformats-officedocument.spreadsheetml.calcChain+xml"/>
  <Override PartName="/docMetadata/LabelInfo.xml" ContentType="application/vnd.ms-office.classificationlabels+xml"/>
  <Override PartName="/xl/diagrams/data6.xml" ContentType="application/vnd.openxmlformats-officedocument.drawingml.diagramData+xml"/>
  <Override PartName="/xl/diagrams/data5.xml" ContentType="application/vnd.openxmlformats-officedocument.drawingml.diagramData+xml"/>
  <Override PartName="/xl/diagrams/data4.xml" ContentType="application/vnd.openxmlformats-officedocument.drawingml.diagramData+xml"/>
  <Override PartName="/xl/diagrams/data1.xml" ContentType="application/vnd.openxmlformats-officedocument.drawingml.diagramData+xml"/>
  <Override PartName="/xl/diagrams/data2.xml" ContentType="application/vnd.openxmlformats-officedocument.drawingml.diagramData+xml"/>
  <Override PartName="/xl/diagrams/data3.xml" ContentType="application/vnd.openxmlformats-officedocument.drawingml.diagramData+xml"/>
  <Override PartName="/xl/diagrams/data7.xml" ContentType="application/vnd.openxmlformats-officedocument.drawingml.diagramData+xml"/>
  <Override PartName="/xl/diagrams/layout2.xml" ContentType="application/vnd.openxmlformats-officedocument.drawingml.diagramLayout+xml"/>
  <Override PartName="/xl/diagrams/layout1.xml" ContentType="application/vnd.openxmlformats-officedocument.drawingml.diagramLayout+xml"/>
  <Override PartName="/xl/diagrams/layout7.xml" ContentType="application/vnd.openxmlformats-officedocument.drawingml.diagramLayout+xml"/>
  <Override PartName="/xl/diagrams/layout5.xml" ContentType="application/vnd.openxmlformats-officedocument.drawingml.diagramLayout+xml"/>
  <Override PartName="/xl/diagrams/layout6.xml" ContentType="application/vnd.openxmlformats-officedocument.drawingml.diagramLayout+xml"/>
  <Override PartName="/xl/diagrams/layout3.xml" ContentType="application/vnd.openxmlformats-officedocument.drawingml.diagramLayout+xml"/>
  <Override PartName="/xl/diagrams/layout4.xml" ContentType="application/vnd.openxmlformats-officedocument.drawingml.diagramLayout+xml"/>
  <Override PartName="/xl/diagrams/quickStyle5.xml" ContentType="application/vnd.openxmlformats-officedocument.drawingml.diagramStyle+xml"/>
  <Override PartName="/xl/diagrams/quickStyle6.xml" ContentType="application/vnd.openxmlformats-officedocument.drawingml.diagramStyle+xml"/>
  <Override PartName="/xl/diagrams/quickStyle2.xml" ContentType="application/vnd.openxmlformats-officedocument.drawingml.diagramStyle+xml"/>
  <Override PartName="/xl/diagrams/quickStyle1.xml" ContentType="application/vnd.openxmlformats-officedocument.drawingml.diagramStyle+xml"/>
  <Override PartName="/xl/diagrams/quickStyle7.xml" ContentType="application/vnd.openxmlformats-officedocument.drawingml.diagramStyle+xml"/>
  <Override PartName="/xl/diagrams/quickStyle3.xml" ContentType="application/vnd.openxmlformats-officedocument.drawingml.diagramStyle+xml"/>
  <Override PartName="/xl/diagrams/quickStyle4.xml" ContentType="application/vnd.openxmlformats-officedocument.drawingml.diagramStyle+xml"/>
  <Override PartName="/xl/diagrams/colors6.xml" ContentType="application/vnd.openxmlformats-officedocument.drawingml.diagramColors+xml"/>
  <Override PartName="/xl/diagrams/colors5.xml" ContentType="application/vnd.openxmlformats-officedocument.drawingml.diagramColors+xml"/>
  <Override PartName="/xl/diagrams/colors4.xml" ContentType="application/vnd.openxmlformats-officedocument.drawingml.diagramColors+xml"/>
  <Override PartName="/xl/diagrams/colors1.xml" ContentType="application/vnd.openxmlformats-officedocument.drawingml.diagramColors+xml"/>
  <Override PartName="/xl/diagrams/colors2.xml" ContentType="application/vnd.openxmlformats-officedocument.drawingml.diagramColors+xml"/>
  <Override PartName="/xl/diagrams/colors3.xml" ContentType="application/vnd.openxmlformats-officedocument.drawingml.diagramColors+xml"/>
  <Override PartName="/xl/diagrams/colors7.xml" ContentType="application/vnd.openxmlformats-officedocument.drawingml.diagramColors+xml"/>
  <Override PartName="/xl/diagrams/drawing1.xml" ContentType="application/vnd.ms-office.drawingml.diagramDrawing+xml"/>
  <Override PartName="/xl/diagrams/drawing3.xml" ContentType="application/vnd.ms-office.drawingml.diagramDrawing+xml"/>
  <Override PartName="/xl/diagrams/drawing2.xml" ContentType="application/vnd.ms-office.drawingml.diagramDrawing+xml"/>
  <Override PartName="/xl/diagrams/drawing6.xml" ContentType="application/vnd.ms-office.drawingml.diagramDrawing+xml"/>
  <Override PartName="/xl/diagrams/drawing7.xml" ContentType="application/vnd.ms-office.drawingml.diagramDrawing+xml"/>
  <Override PartName="/xl/diagrams/drawing5.xml" ContentType="application/vnd.ms-office.drawingml.diagramDrawing+xml"/>
  <Override PartName="/xl/diagrams/drawing4.xml" ContentType="application/vnd.ms-office.drawingml.diagramDrawing+xml"/>
  <Override PartName="/xl/diagrams/data8.xml" ContentType="application/vnd.openxmlformats-officedocument.drawingml.diagramData+xml"/>
  <Override PartName="/xl/diagrams/layout8.xml" ContentType="application/vnd.openxmlformats-officedocument.drawingml.diagramLayout+xml"/>
  <Override PartName="/xl/diagrams/quickStyle8.xml" ContentType="application/vnd.openxmlformats-officedocument.drawingml.diagramStyle+xml"/>
  <Override PartName="/xl/diagrams/colors8.xml" ContentType="application/vnd.openxmlformats-officedocument.drawingml.diagramColors+xml"/>
  <Override PartName="/xl/diagrams/drawing8.xml" ContentType="application/vnd.ms-office.drawingml.diagramDrawing+xml"/>
  <Override PartName="/xl/diagrams/data9.xml" ContentType="application/vnd.openxmlformats-officedocument.drawingml.diagramData+xml"/>
  <Override PartName="/xl/diagrams/layout9.xml" ContentType="application/vnd.openxmlformats-officedocument.drawingml.diagramLayout+xml"/>
  <Override PartName="/xl/diagrams/quickStyle9.xml" ContentType="application/vnd.openxmlformats-officedocument.drawingml.diagramStyle+xml"/>
  <Override PartName="/xl/diagrams/colors9.xml" ContentType="application/vnd.openxmlformats-officedocument.drawingml.diagramColors+xml"/>
  <Override PartName="/xl/diagrams/drawing9.xml" ContentType="application/vnd.ms-office.drawingml.diagramDrawing+xml"/>
  <Override PartName="/xl/diagrams/data10.xml" ContentType="application/vnd.openxmlformats-officedocument.drawingml.diagramData+xml"/>
  <Override PartName="/xl/diagrams/layout10.xml" ContentType="application/vnd.openxmlformats-officedocument.drawingml.diagramLayout+xml"/>
  <Override PartName="/xl/diagrams/quickStyle10.xml" ContentType="application/vnd.openxmlformats-officedocument.drawingml.diagramStyle+xml"/>
  <Override PartName="/xl/diagrams/colors10.xml" ContentType="application/vnd.openxmlformats-officedocument.drawingml.diagramColors+xml"/>
  <Override PartName="/xl/diagrams/drawing10.xml" ContentType="application/vnd.ms-office.drawingml.diagramDrawing+xml"/>
  <Override PartName="/xl/diagrams/data12.xml" ContentType="application/vnd.openxmlformats-officedocument.drawingml.diagramData+xml"/>
  <Override PartName="/xl/diagrams/data11.xml" ContentType="application/vnd.openxmlformats-officedocument.drawingml.diagramData+xml"/>
  <Override PartName="/xl/diagrams/layout12.xml" ContentType="application/vnd.openxmlformats-officedocument.drawingml.diagramLayout+xml"/>
  <Override PartName="/xl/diagrams/layout11.xml" ContentType="application/vnd.openxmlformats-officedocument.drawingml.diagramLayout+xml"/>
  <Override PartName="/xl/diagrams/quickStyle11.xml" ContentType="application/vnd.openxmlformats-officedocument.drawingml.diagramStyle+xml"/>
  <Override PartName="/xl/diagrams/quickStyle12.xml" ContentType="application/vnd.openxmlformats-officedocument.drawingml.diagramStyle+xml"/>
  <Override PartName="/xl/diagrams/colors12.xml" ContentType="application/vnd.openxmlformats-officedocument.drawingml.diagramColors+xml"/>
  <Override PartName="/xl/diagrams/colors11.xml" ContentType="application/vnd.openxmlformats-officedocument.drawingml.diagramColors+xml"/>
  <Override PartName="/xl/diagrams/drawing12.xml" ContentType="application/vnd.ms-office.drawingml.diagramDrawing+xml"/>
  <Override PartName="/xl/diagrams/drawing11.xml" ContentType="application/vnd.ms-office.drawingml.diagramDrawing+xml"/>
  <Override PartName="/xl/diagrams/data13.xml" ContentType="application/vnd.openxmlformats-officedocument.drawingml.diagramData+xml"/>
  <Override PartName="/xl/diagrams/layout13.xml" ContentType="application/vnd.openxmlformats-officedocument.drawingml.diagramLayout+xml"/>
  <Override PartName="/xl/diagrams/quickStyle13.xml" ContentType="application/vnd.openxmlformats-officedocument.drawingml.diagramStyle+xml"/>
  <Override PartName="/xl/diagrams/colors13.xml" ContentType="application/vnd.openxmlformats-officedocument.drawingml.diagramColors+xml"/>
  <Override PartName="/xl/diagrams/drawing13.xml" ContentType="application/vnd.ms-office.drawingml.diagramDrawing+xml"/>
  <Override PartName="/xl/diagrams/data14.xml" ContentType="application/vnd.openxmlformats-officedocument.drawingml.diagramData+xml"/>
  <Override PartName="/xl/diagrams/layout14.xml" ContentType="application/vnd.openxmlformats-officedocument.drawingml.diagramLayout+xml"/>
  <Override PartName="/xl/diagrams/quickStyle14.xml" ContentType="application/vnd.openxmlformats-officedocument.drawingml.diagramStyle+xml"/>
  <Override PartName="/xl/diagrams/colors14.xml" ContentType="application/vnd.openxmlformats-officedocument.drawingml.diagramColors+xml"/>
  <Override PartName="/xl/diagrams/drawing14.xml" ContentType="application/vnd.ms-office.drawingml.diagram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microsoft.com/office/2020/02/relationships/classificationlabels" Target="docMetadata/LabelInfo.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12"/>
  <workbookPr filterPrivacy="1" defaultThemeVersion="166925"/>
  <xr:revisionPtr revIDLastSave="0" documentId="8_{48E8E639-0341-4A3E-8906-75061330C05C}" xr6:coauthVersionLast="47" xr6:coauthVersionMax="47" xr10:uidLastSave="{00000000-0000-0000-0000-000000000000}"/>
  <bookViews>
    <workbookView showSheetTabs="0" xWindow="-110" yWindow="-110" windowWidth="38620" windowHeight="21100" tabRatio="923" firstSheet="1" activeTab="1" xr2:uid="{62F38344-A501-42D9-9432-9C376B4D60A0}"/>
  </bookViews>
  <sheets>
    <sheet name="Version" sheetId="20" r:id="rId1"/>
    <sheet name="Journey" sheetId="129" r:id="rId2"/>
    <sheet name="Glossary" sheetId="5" r:id="rId3"/>
    <sheet name="AppContinuity" sheetId="161" r:id="rId4"/>
    <sheet name="BCP" sheetId="162" r:id="rId5"/>
    <sheet name="Persona" sheetId="148" r:id="rId6"/>
    <sheet name="1B Criticality" sheetId="61" r:id="rId7"/>
    <sheet name="1B Commitment, Blueprints" sheetId="80" r:id="rId8"/>
    <sheet name="1B Fault Model" sheetId="74" r:id="rId9"/>
    <sheet name="1B RACI" sheetId="90" r:id="rId10"/>
    <sheet name="1B Requirements" sheetId="40" r:id="rId11"/>
    <sheet name="1B Test Types" sheetId="125" r:id="rId12"/>
    <sheet name="2 App Requirements" sheetId="137" r:id="rId13"/>
    <sheet name="2 Service Map" sheetId="58" r:id="rId14"/>
    <sheet name="2 BIA" sheetId="88" r:id="rId15"/>
    <sheet name="2 Fault Tree Analysis (-BCDR)" sheetId="114" r:id="rId16"/>
    <sheet name="2 Architecture Resilience | Gap" sheetId="132" r:id="rId17"/>
    <sheet name="2 Metric Analysis (-BCDR)" sheetId="159" r:id="rId18"/>
    <sheet name="3 Response Plan" sheetId="149" r:id="rId19"/>
    <sheet name="3 Architecture | BCDR Design" sheetId="160" r:id="rId20"/>
    <sheet name="3 Metric Comparison" sheetId="121" r:id="rId21"/>
    <sheet name="3 Cost Comparison" sheetId="123" r:id="rId22"/>
    <sheet name="3 Fault Tree Analysis (+BCDR)" sheetId="110" r:id="rId23"/>
    <sheet name="3 Contingency Plan" sheetId="82" r:id="rId24"/>
    <sheet name="3 Role Assignment" sheetId="106" r:id="rId25"/>
    <sheet name="4 Test Summary" sheetId="138" r:id="rId26"/>
    <sheet name="4. Test Plan (Failover)" sheetId="134" r:id="rId27"/>
    <sheet name="4. Test Plan (UAT)" sheetId="133" r:id="rId28"/>
    <sheet name="4 App Outage Communication" sheetId="97" r:id="rId29"/>
    <sheet name="4 Maintain ACP" sheetId="139" r:id="rId30"/>
    <sheet name="5 Develop BCP" sheetId="154" r:id="rId31"/>
    <sheet name="5 Risk" sheetId="156" r:id="rId32"/>
    <sheet name="5 Multi-App Continuity" sheetId="155" r:id="rId33"/>
    <sheet name="5 Business Critical Calendar" sheetId="104" r:id="rId34"/>
    <sheet name="5 BIA | Portfolio Summary" sheetId="52" r:id="rId35"/>
    <sheet name="5 Dashboard" sheetId="87" r:id="rId36"/>
    <sheet name="5 Maintain BCP" sheetId="157" r:id="rId37"/>
    <sheet name="Bibliography" sheetId="51" r:id="rId38"/>
    <sheet name="Data" sheetId="12" r:id="rId39"/>
  </sheets>
  <definedNames>
    <definedName name="Application_Development_Logic" localSheetId="13">'2 Service Map'!$C$47</definedName>
    <definedName name="Apr_day">AprAssignments[Calendar day]</definedName>
    <definedName name="AprSun1">DATE('5 Business Critical Calendar'!CalendarYear,4,1)-WEEKDAY(DATE('5 Business Critical Calendar'!CalendarYear,4,1))+1</definedName>
    <definedName name="Aug_day">AugAssignments[Calendar day]</definedName>
    <definedName name="AugSun1">DATE('5 Business Critical Calendar'!CalendarYear,8,1)-WEEKDAY(DATE('5 Business Critical Calendar'!CalendarYear,8,1))+1</definedName>
    <definedName name="Business_Continuity_Owner">Persona!$C$39</definedName>
    <definedName name="Business_Functions" localSheetId="13">'2 Service Map'!$C$56</definedName>
    <definedName name="CalendarYear" localSheetId="33">'5 Business Critical Calendar'!$C$6</definedName>
    <definedName name="Dec_day">DecAssignments[Calendar day]</definedName>
    <definedName name="DecSun1">DATE('5 Business Critical Calendar'!CalendarYear,12,1)-WEEKDAY(DATE('5 Business Critical Calendar'!CalendarYear,12,1))+1</definedName>
    <definedName name="Dependencies__downstream" localSheetId="13">'2 Service Map'!$C$93</definedName>
    <definedName name="Dependencies__upstream" localSheetId="13">'2 Service Map'!$C$83</definedName>
    <definedName name="Deployment" localSheetId="13">'2 Service Map'!$C$98</definedName>
    <definedName name="Directory_Services" localSheetId="13">'2 Service Map'!$C$104</definedName>
    <definedName name="Documentation" localSheetId="13">'2 Service Map'!$C$112</definedName>
    <definedName name="Feb_day">FebruaryAssignments15[Calendar day]</definedName>
    <definedName name="FebSun1" localSheetId="33">DATE('5 Business Critical Calendar'!CalendarYear,2,1)-WEEKDAY(DATE('5 Business Critical Calendar'!CalendarYear,2,1))+1</definedName>
    <definedName name="Hardware" localSheetId="13">'2 Service Map'!$C$126</definedName>
    <definedName name="Hosting_Environment" localSheetId="13">'2 Service Map'!$C$135</definedName>
    <definedName name="Jan_day">JanuaryAssignments14[Calendar day]</definedName>
    <definedName name="JanSun1" localSheetId="33">DATE('5 Business Critical Calendar'!CalendarYear,1,1)-WEEKDAY(DATE('5 Business Critical Calendar'!CalendarYear,1,1))+1</definedName>
    <definedName name="Jul_day">JulAssignments[Calendar day]</definedName>
    <definedName name="JulSun1">DATE('5 Business Critical Calendar'!CalendarYear,7,1)-WEEKDAY(DATE('5 Business Critical Calendar'!CalendarYear,7,1))+1</definedName>
    <definedName name="Jun_day">JunAssignments[Calendar day]</definedName>
    <definedName name="JunSun1">DATE('5 Business Critical Calendar'!CalendarYear,6,1)-WEEKDAY(DATE('5 Business Critical Calendar'!CalendarYear,6,1))+1</definedName>
    <definedName name="March_day">MachrAssignments17[Calendar day]</definedName>
    <definedName name="MarSun1" localSheetId="33">DATE('5 Business Critical Calendar'!CalendarYear,3,1)-WEEKDAY(DATE('5 Business Critical Calendar'!CalendarYear,3,1))+1</definedName>
    <definedName name="May_day">MayAssignments[Calendar day]</definedName>
    <definedName name="MaySun1">DATE('5 Business Critical Calendar'!CalendarYear,5,1)-WEEKDAY(DATE('5 Business Critical Calendar'!CalendarYear,5,1))+1</definedName>
    <definedName name="Metrics" localSheetId="13">'2 Service Map'!$C$142</definedName>
    <definedName name="Nov_day">NovAssignments[Calendar day]</definedName>
    <definedName name="NovSun1">DATE('5 Business Critical Calendar'!CalendarYear,11,1)-WEEKDAY(DATE('5 Business Critical Calendar'!CalendarYear,11,1))+1</definedName>
    <definedName name="Oct_day">OctAssignments[Calendar day]</definedName>
    <definedName name="OctSun1">DATE('5 Business Critical Calendar'!CalendarYear,10,1)-WEEKDAY(DATE('5 Business Critical Calendar'!CalendarYear,10,1))+1</definedName>
    <definedName name="Owners" localSheetId="13">'2 Service Map'!$C$179</definedName>
    <definedName name="_xlnm.Print_Area" localSheetId="33">'5 Business Critical Calendar'!$A$1:$W$141</definedName>
    <definedName name="Processes" localSheetId="13">'2 Service Map'!$C$170</definedName>
    <definedName name="Resilience__Availability" localSheetId="13">'2 Service Map'!$C$194</definedName>
    <definedName name="Resilience__Recovery" localSheetId="13">'2 Service Map'!$C$200</definedName>
    <definedName name="Resilience_by_Business_Function" localSheetId="19">'3 Architecture | BCDR Design'!#REF!</definedName>
    <definedName name="Resilience_by_Business_Function">'2 Architecture Resilience | Gap'!#REF!</definedName>
    <definedName name="Sep_day">SepAssignments[Calendar day]</definedName>
    <definedName name="SepSun1">DATE('5 Business Critical Calendar'!CalendarYear,9,1)-WEEKDAY(DATE('5 Business Critical Calendar'!CalendarYear,9,1))+1</definedName>
    <definedName name="Services" localSheetId="13">Table2060[[#Headers],[Services]]</definedName>
    <definedName name="Settings" localSheetId="13">'2 Service Map'!$C$152</definedName>
    <definedName name="Slicer_Application">#N/A</definedName>
    <definedName name="Slicer_Department1">#N/A</definedName>
    <definedName name="Slicer_Name1">#N/A</definedName>
    <definedName name="Slicer_Role1">#N/A</definedName>
    <definedName name="Slicer_Topic1">#N/A</definedName>
    <definedName name="Slicer_Topic11">#N/A</definedName>
    <definedName name="Slicer_Topic12">#N/A</definedName>
    <definedName name="Software_Bill_of_Materials" localSheetId="13">'2 Service Map'!$C$158</definedName>
    <definedName name="Users" localSheetId="13">'2 Service Map'!$C$213</definedName>
    <definedName name="Vendors_and_Support_Agreements" localSheetId="13">'2 Service Map'!$C$206</definedName>
  </definedNames>
  <calcPr calcId="191028"/>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40"/>
        <x14:slicerCache r:id="rId41"/>
        <x14:slicerCache r:id="rId42"/>
        <x14:slicerCache r:id="rId43"/>
        <x14:slicerCache r:id="rId44"/>
        <x14:slicerCache r:id="rId45"/>
        <x14:slicerCache r:id="rId46"/>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47" i="139" l="1"/>
  <c r="N363" i="121"/>
  <c r="N330" i="121" s="1"/>
  <c r="M363" i="121"/>
  <c r="M330" i="121" s="1"/>
  <c r="F363" i="121"/>
  <c r="H363" i="121" s="1"/>
  <c r="N349" i="121"/>
  <c r="N329" i="121" s="1"/>
  <c r="M349" i="121"/>
  <c r="F349" i="121"/>
  <c r="N322" i="121"/>
  <c r="N291" i="121" s="1"/>
  <c r="M322" i="121"/>
  <c r="F322" i="121"/>
  <c r="F291" i="121" s="1"/>
  <c r="N309" i="121"/>
  <c r="N290" i="121" s="1"/>
  <c r="M309" i="121"/>
  <c r="M290" i="121" s="1"/>
  <c r="F309" i="121"/>
  <c r="H309" i="121" s="1"/>
  <c r="N283" i="121"/>
  <c r="N250" i="121" s="1"/>
  <c r="M283" i="121"/>
  <c r="M250" i="121" s="1"/>
  <c r="F283" i="121"/>
  <c r="F250" i="121" s="1"/>
  <c r="N269" i="121"/>
  <c r="N249" i="121" s="1"/>
  <c r="M269" i="121"/>
  <c r="M249" i="121" s="1"/>
  <c r="F269" i="121"/>
  <c r="H269" i="121" s="1"/>
  <c r="H249" i="121" s="1"/>
  <c r="N242" i="121"/>
  <c r="N205" i="121" s="1"/>
  <c r="M242" i="121"/>
  <c r="M205" i="121" s="1"/>
  <c r="F242" i="121"/>
  <c r="F205" i="121" s="1"/>
  <c r="N226" i="121"/>
  <c r="N204" i="121" s="1"/>
  <c r="M226" i="121"/>
  <c r="M204" i="121" s="1"/>
  <c r="F226" i="121"/>
  <c r="H226" i="121" s="1"/>
  <c r="N197" i="121"/>
  <c r="N162" i="121" s="1"/>
  <c r="M197" i="121"/>
  <c r="M162" i="121" s="1"/>
  <c r="F197" i="121"/>
  <c r="F162" i="121" s="1"/>
  <c r="N182" i="121"/>
  <c r="N161" i="121" s="1"/>
  <c r="M182" i="121"/>
  <c r="M161" i="121" s="1"/>
  <c r="F182" i="121"/>
  <c r="H182" i="121" s="1"/>
  <c r="N154" i="121"/>
  <c r="N123" i="121" s="1"/>
  <c r="M154" i="121"/>
  <c r="M123" i="121" s="1"/>
  <c r="F154" i="121"/>
  <c r="F123" i="121" s="1"/>
  <c r="N141" i="121"/>
  <c r="N122" i="121" s="1"/>
  <c r="M141" i="121"/>
  <c r="M122" i="121" s="1"/>
  <c r="F141" i="121"/>
  <c r="H141" i="121" s="1"/>
  <c r="N115" i="121"/>
  <c r="N84" i="121" s="1"/>
  <c r="M115" i="121"/>
  <c r="M84" i="121" s="1"/>
  <c r="F115" i="121"/>
  <c r="F84" i="121" s="1"/>
  <c r="N102" i="121"/>
  <c r="N83" i="121" s="1"/>
  <c r="M102" i="121"/>
  <c r="M83" i="121" s="1"/>
  <c r="F102" i="121"/>
  <c r="H102" i="121" s="1"/>
  <c r="P363" i="121"/>
  <c r="O363" i="121"/>
  <c r="H362" i="121"/>
  <c r="I362" i="121" s="1"/>
  <c r="G362" i="121"/>
  <c r="H361" i="121"/>
  <c r="K361" i="121" s="1"/>
  <c r="G361" i="121"/>
  <c r="H360" i="121"/>
  <c r="K360" i="121" s="1"/>
  <c r="G360" i="121"/>
  <c r="H359" i="121"/>
  <c r="K359" i="121" s="1"/>
  <c r="G359" i="121"/>
  <c r="H358" i="121"/>
  <c r="K358" i="121" s="1"/>
  <c r="G358" i="121"/>
  <c r="H357" i="121"/>
  <c r="K357" i="121" s="1"/>
  <c r="G357" i="121"/>
  <c r="H356" i="121"/>
  <c r="K356" i="121" s="1"/>
  <c r="G356" i="121"/>
  <c r="P349" i="121"/>
  <c r="O349" i="121"/>
  <c r="M329" i="121"/>
  <c r="G349" i="121"/>
  <c r="G329" i="121" s="1"/>
  <c r="H348" i="121"/>
  <c r="K348" i="121" s="1"/>
  <c r="G348" i="121"/>
  <c r="H347" i="121"/>
  <c r="K347" i="121" s="1"/>
  <c r="G347" i="121"/>
  <c r="H346" i="121"/>
  <c r="K346" i="121" s="1"/>
  <c r="G346" i="121"/>
  <c r="H345" i="121"/>
  <c r="K345" i="121" s="1"/>
  <c r="G345" i="121"/>
  <c r="H344" i="121"/>
  <c r="K344" i="121" s="1"/>
  <c r="G344" i="121"/>
  <c r="H343" i="121"/>
  <c r="I343" i="121" s="1"/>
  <c r="G343" i="121"/>
  <c r="P322" i="121"/>
  <c r="O322" i="121"/>
  <c r="M291" i="121"/>
  <c r="H321" i="121"/>
  <c r="K321" i="121" s="1"/>
  <c r="G321" i="121"/>
  <c r="H320" i="121"/>
  <c r="K320" i="121" s="1"/>
  <c r="G320" i="121"/>
  <c r="H319" i="121"/>
  <c r="K319" i="121" s="1"/>
  <c r="G319" i="121"/>
  <c r="H318" i="121"/>
  <c r="I318" i="121" s="1"/>
  <c r="G318" i="121"/>
  <c r="H317" i="121"/>
  <c r="I317" i="121" s="1"/>
  <c r="G317" i="121"/>
  <c r="H316" i="121"/>
  <c r="K316" i="121" s="1"/>
  <c r="G316" i="121"/>
  <c r="P309" i="121"/>
  <c r="O309" i="121"/>
  <c r="H308" i="121"/>
  <c r="K308" i="121" s="1"/>
  <c r="G308" i="121"/>
  <c r="H307" i="121"/>
  <c r="I307" i="121" s="1"/>
  <c r="G307" i="121"/>
  <c r="H306" i="121"/>
  <c r="I306" i="121" s="1"/>
  <c r="G306" i="121"/>
  <c r="H305" i="121"/>
  <c r="K305" i="121" s="1"/>
  <c r="G305" i="121"/>
  <c r="H304" i="121"/>
  <c r="I304" i="121" s="1"/>
  <c r="G304" i="121"/>
  <c r="P283" i="121"/>
  <c r="O283" i="121"/>
  <c r="H282" i="121"/>
  <c r="I282" i="121" s="1"/>
  <c r="G282" i="121"/>
  <c r="H281" i="121"/>
  <c r="G281" i="121"/>
  <c r="H280" i="121"/>
  <c r="I280" i="121" s="1"/>
  <c r="G280" i="121"/>
  <c r="H279" i="121"/>
  <c r="K279" i="121" s="1"/>
  <c r="G279" i="121"/>
  <c r="H278" i="121"/>
  <c r="K278" i="121" s="1"/>
  <c r="L278" i="121" s="1"/>
  <c r="G278" i="121"/>
  <c r="H277" i="121"/>
  <c r="K277" i="121" s="1"/>
  <c r="G277" i="121"/>
  <c r="H276" i="121"/>
  <c r="K276" i="121" s="1"/>
  <c r="G276" i="121"/>
  <c r="P269" i="121"/>
  <c r="O269" i="121"/>
  <c r="H268" i="121"/>
  <c r="K268" i="121" s="1"/>
  <c r="G268" i="121"/>
  <c r="H267" i="121"/>
  <c r="K267" i="121" s="1"/>
  <c r="G267" i="121"/>
  <c r="H266" i="121"/>
  <c r="K266" i="121" s="1"/>
  <c r="G266" i="121"/>
  <c r="H265" i="121"/>
  <c r="K265" i="121" s="1"/>
  <c r="G265" i="121"/>
  <c r="H264" i="121"/>
  <c r="G264" i="121"/>
  <c r="H263" i="121"/>
  <c r="I263" i="121" s="1"/>
  <c r="G263" i="121"/>
  <c r="P242" i="121"/>
  <c r="O242" i="121"/>
  <c r="H241" i="121"/>
  <c r="K241" i="121" s="1"/>
  <c r="G241" i="121"/>
  <c r="H240" i="121"/>
  <c r="I240" i="121" s="1"/>
  <c r="G240" i="121"/>
  <c r="H239" i="121"/>
  <c r="K239" i="121" s="1"/>
  <c r="G239" i="121"/>
  <c r="H238" i="121"/>
  <c r="K238" i="121" s="1"/>
  <c r="G238" i="121"/>
  <c r="H237" i="121"/>
  <c r="I237" i="121" s="1"/>
  <c r="G237" i="121"/>
  <c r="H236" i="121"/>
  <c r="K236" i="121" s="1"/>
  <c r="G236" i="121"/>
  <c r="H235" i="121"/>
  <c r="I235" i="121" s="1"/>
  <c r="G235" i="121"/>
  <c r="H234" i="121"/>
  <c r="K234" i="121" s="1"/>
  <c r="G234" i="121"/>
  <c r="H233" i="121"/>
  <c r="K233" i="121" s="1"/>
  <c r="G233" i="121"/>
  <c r="P226" i="121"/>
  <c r="O226" i="121"/>
  <c r="H225" i="121"/>
  <c r="I225" i="121" s="1"/>
  <c r="G225" i="121"/>
  <c r="H224" i="121"/>
  <c r="I224" i="121" s="1"/>
  <c r="G224" i="121"/>
  <c r="H223" i="121"/>
  <c r="K223" i="121" s="1"/>
  <c r="G223" i="121"/>
  <c r="H222" i="121"/>
  <c r="K222" i="121" s="1"/>
  <c r="G222" i="121"/>
  <c r="H221" i="121"/>
  <c r="I221" i="121" s="1"/>
  <c r="G221" i="121"/>
  <c r="H220" i="121"/>
  <c r="I220" i="121" s="1"/>
  <c r="G220" i="121"/>
  <c r="H219" i="121"/>
  <c r="K219" i="121" s="1"/>
  <c r="G219" i="121"/>
  <c r="H218" i="121"/>
  <c r="K218" i="121" s="1"/>
  <c r="J218" i="121" s="1"/>
  <c r="G218" i="121"/>
  <c r="P197" i="121"/>
  <c r="O197" i="121"/>
  <c r="H196" i="121"/>
  <c r="I196" i="121" s="1"/>
  <c r="G196" i="121"/>
  <c r="H195" i="121"/>
  <c r="K195" i="121" s="1"/>
  <c r="G195" i="121"/>
  <c r="H194" i="121"/>
  <c r="K194" i="121" s="1"/>
  <c r="G194" i="121"/>
  <c r="H193" i="121"/>
  <c r="K193" i="121" s="1"/>
  <c r="G193" i="121"/>
  <c r="H192" i="121"/>
  <c r="K192" i="121" s="1"/>
  <c r="G192" i="121"/>
  <c r="H191" i="121"/>
  <c r="K191" i="121" s="1"/>
  <c r="G191" i="121"/>
  <c r="H190" i="121"/>
  <c r="K190" i="121" s="1"/>
  <c r="G190" i="121"/>
  <c r="H189" i="121"/>
  <c r="K189" i="121" s="1"/>
  <c r="G189" i="121"/>
  <c r="P182" i="121"/>
  <c r="O182" i="121"/>
  <c r="H181" i="121"/>
  <c r="I181" i="121" s="1"/>
  <c r="G181" i="121"/>
  <c r="H180" i="121"/>
  <c r="K180" i="121" s="1"/>
  <c r="G180" i="121"/>
  <c r="H179" i="121"/>
  <c r="K179" i="121" s="1"/>
  <c r="G179" i="121"/>
  <c r="H178" i="121"/>
  <c r="K178" i="121" s="1"/>
  <c r="G178" i="121"/>
  <c r="H177" i="121"/>
  <c r="K177" i="121" s="1"/>
  <c r="G177" i="121"/>
  <c r="H176" i="121"/>
  <c r="K176" i="121" s="1"/>
  <c r="G176" i="121"/>
  <c r="H175" i="121"/>
  <c r="I175" i="121" s="1"/>
  <c r="G175" i="121"/>
  <c r="P154" i="121"/>
  <c r="O154" i="121"/>
  <c r="H153" i="121"/>
  <c r="K153" i="121" s="1"/>
  <c r="G153" i="121"/>
  <c r="H152" i="121"/>
  <c r="I152" i="121" s="1"/>
  <c r="G152" i="121"/>
  <c r="H151" i="121"/>
  <c r="I151" i="121" s="1"/>
  <c r="G151" i="121"/>
  <c r="H150" i="121"/>
  <c r="I150" i="121" s="1"/>
  <c r="G150" i="121"/>
  <c r="H149" i="121"/>
  <c r="I149" i="121" s="1"/>
  <c r="G149" i="121"/>
  <c r="H148" i="121"/>
  <c r="I148" i="121" s="1"/>
  <c r="G148" i="121"/>
  <c r="P141" i="121"/>
  <c r="O141" i="121"/>
  <c r="H140" i="121"/>
  <c r="K140" i="121" s="1"/>
  <c r="G140" i="121"/>
  <c r="H139" i="121"/>
  <c r="I139" i="121" s="1"/>
  <c r="G139" i="121"/>
  <c r="H138" i="121"/>
  <c r="I138" i="121" s="1"/>
  <c r="G138" i="121"/>
  <c r="H137" i="121"/>
  <c r="K137" i="121" s="1"/>
  <c r="G137" i="121"/>
  <c r="H136" i="121"/>
  <c r="I136" i="121" s="1"/>
  <c r="G136" i="121"/>
  <c r="P115" i="121"/>
  <c r="O115" i="121"/>
  <c r="H114" i="121"/>
  <c r="K114" i="121" s="1"/>
  <c r="G114" i="121"/>
  <c r="H113" i="121"/>
  <c r="I113" i="121" s="1"/>
  <c r="G113" i="121"/>
  <c r="H112" i="121"/>
  <c r="I112" i="121" s="1"/>
  <c r="G112" i="121"/>
  <c r="H111" i="121"/>
  <c r="K111" i="121" s="1"/>
  <c r="G111" i="121"/>
  <c r="H110" i="121"/>
  <c r="K110" i="121" s="1"/>
  <c r="G110" i="121"/>
  <c r="H109" i="121"/>
  <c r="I109" i="121" s="1"/>
  <c r="G109" i="121"/>
  <c r="P102" i="121"/>
  <c r="O102" i="121"/>
  <c r="H101" i="121"/>
  <c r="K101" i="121" s="1"/>
  <c r="G101" i="121"/>
  <c r="H100" i="121"/>
  <c r="I100" i="121" s="1"/>
  <c r="G100" i="121"/>
  <c r="H99" i="121"/>
  <c r="I99" i="121" s="1"/>
  <c r="G99" i="121"/>
  <c r="H98" i="121"/>
  <c r="K98" i="121" s="1"/>
  <c r="G98" i="121"/>
  <c r="H97" i="121"/>
  <c r="K97" i="121" s="1"/>
  <c r="J97" i="121" s="1"/>
  <c r="G97" i="121"/>
  <c r="P355" i="123"/>
  <c r="P326" i="123" s="1"/>
  <c r="O355" i="123"/>
  <c r="O326" i="123" s="1"/>
  <c r="N355" i="123"/>
  <c r="N326" i="123" s="1"/>
  <c r="M355" i="123"/>
  <c r="M326" i="123" s="1"/>
  <c r="L355" i="123"/>
  <c r="L326" i="123" s="1"/>
  <c r="K355" i="123"/>
  <c r="K326" i="123" s="1"/>
  <c r="J355" i="123"/>
  <c r="J326" i="123" s="1"/>
  <c r="I355" i="123"/>
  <c r="I326" i="123" s="1"/>
  <c r="H355" i="123"/>
  <c r="H326" i="123" s="1"/>
  <c r="G355" i="123"/>
  <c r="G326" i="123" s="1"/>
  <c r="Q354" i="123"/>
  <c r="F353" i="123"/>
  <c r="Q353" i="123" s="1"/>
  <c r="Q352" i="123"/>
  <c r="F351" i="123"/>
  <c r="Q351" i="123" s="1"/>
  <c r="Q350" i="123"/>
  <c r="Q349" i="123"/>
  <c r="Q348" i="123"/>
  <c r="Q347" i="123"/>
  <c r="P340" i="123"/>
  <c r="P325" i="123" s="1"/>
  <c r="O340" i="123"/>
  <c r="O325" i="123" s="1"/>
  <c r="N340" i="123"/>
  <c r="N325" i="123" s="1"/>
  <c r="M340" i="123"/>
  <c r="M325" i="123" s="1"/>
  <c r="L340" i="123"/>
  <c r="K340" i="123"/>
  <c r="K325" i="123" s="1"/>
  <c r="J340" i="123"/>
  <c r="J325" i="123" s="1"/>
  <c r="I340" i="123"/>
  <c r="I325" i="123" s="1"/>
  <c r="H340" i="123"/>
  <c r="H325" i="123" s="1"/>
  <c r="G340" i="123"/>
  <c r="G325" i="123" s="1"/>
  <c r="F340" i="123"/>
  <c r="F325" i="123" s="1"/>
  <c r="Q339" i="123"/>
  <c r="Q338" i="123"/>
  <c r="Q337" i="123"/>
  <c r="Q336" i="123"/>
  <c r="Q335" i="123"/>
  <c r="Q334" i="123"/>
  <c r="P314" i="123"/>
  <c r="P287" i="123" s="1"/>
  <c r="O314" i="123"/>
  <c r="O287" i="123" s="1"/>
  <c r="N314" i="123"/>
  <c r="N287" i="123" s="1"/>
  <c r="M314" i="123"/>
  <c r="M287" i="123" s="1"/>
  <c r="L314" i="123"/>
  <c r="L287" i="123" s="1"/>
  <c r="K314" i="123"/>
  <c r="K287" i="123" s="1"/>
  <c r="J314" i="123"/>
  <c r="J287" i="123" s="1"/>
  <c r="I314" i="123"/>
  <c r="I287" i="123" s="1"/>
  <c r="H314" i="123"/>
  <c r="H287" i="123" s="1"/>
  <c r="G314" i="123"/>
  <c r="G287" i="123" s="1"/>
  <c r="Q313" i="123"/>
  <c r="Q312" i="123"/>
  <c r="F311" i="123"/>
  <c r="Q311" i="123" s="1"/>
  <c r="Q310" i="123"/>
  <c r="Q309" i="123"/>
  <c r="Q308" i="123"/>
  <c r="Q307" i="123"/>
  <c r="P300" i="123"/>
  <c r="P286" i="123" s="1"/>
  <c r="O300" i="123"/>
  <c r="O286" i="123" s="1"/>
  <c r="N300" i="123"/>
  <c r="N286" i="123" s="1"/>
  <c r="M300" i="123"/>
  <c r="M286" i="123" s="1"/>
  <c r="L300" i="123"/>
  <c r="L286" i="123" s="1"/>
  <c r="K300" i="123"/>
  <c r="K286" i="123" s="1"/>
  <c r="J300" i="123"/>
  <c r="J286" i="123" s="1"/>
  <c r="I300" i="123"/>
  <c r="I286" i="123" s="1"/>
  <c r="H300" i="123"/>
  <c r="H286" i="123" s="1"/>
  <c r="G300" i="123"/>
  <c r="G286" i="123" s="1"/>
  <c r="F300" i="123"/>
  <c r="F286" i="123" s="1"/>
  <c r="Q299" i="123"/>
  <c r="Q298" i="123"/>
  <c r="Q297" i="123"/>
  <c r="Q296" i="123"/>
  <c r="Q295" i="123"/>
  <c r="P275" i="123"/>
  <c r="P246" i="123" s="1"/>
  <c r="O275" i="123"/>
  <c r="O246" i="123" s="1"/>
  <c r="N275" i="123"/>
  <c r="N246" i="123" s="1"/>
  <c r="M275" i="123"/>
  <c r="M246" i="123" s="1"/>
  <c r="L275" i="123"/>
  <c r="L246" i="123" s="1"/>
  <c r="K275" i="123"/>
  <c r="K246" i="123" s="1"/>
  <c r="J275" i="123"/>
  <c r="J246" i="123" s="1"/>
  <c r="I275" i="123"/>
  <c r="I246" i="123" s="1"/>
  <c r="H275" i="123"/>
  <c r="H246" i="123" s="1"/>
  <c r="G275" i="123"/>
  <c r="G246" i="123" s="1"/>
  <c r="Q274" i="123"/>
  <c r="F273" i="123"/>
  <c r="Q273" i="123" s="1"/>
  <c r="Q272" i="123"/>
  <c r="F271" i="123"/>
  <c r="Q271" i="123" s="1"/>
  <c r="Q270" i="123"/>
  <c r="Q269" i="123"/>
  <c r="Q268" i="123"/>
  <c r="Q267" i="123"/>
  <c r="P260" i="123"/>
  <c r="P245" i="123" s="1"/>
  <c r="O260" i="123"/>
  <c r="O245" i="123" s="1"/>
  <c r="N260" i="123"/>
  <c r="N245" i="123" s="1"/>
  <c r="M260" i="123"/>
  <c r="M245" i="123" s="1"/>
  <c r="L260" i="123"/>
  <c r="L245" i="123" s="1"/>
  <c r="K260" i="123"/>
  <c r="K245" i="123" s="1"/>
  <c r="J260" i="123"/>
  <c r="J245" i="123" s="1"/>
  <c r="I260" i="123"/>
  <c r="I245" i="123" s="1"/>
  <c r="H260" i="123"/>
  <c r="H245" i="123" s="1"/>
  <c r="G260" i="123"/>
  <c r="F260" i="123"/>
  <c r="F245" i="123" s="1"/>
  <c r="Q259" i="123"/>
  <c r="Q258" i="123"/>
  <c r="Q257" i="123"/>
  <c r="Q256" i="123"/>
  <c r="Q255" i="123"/>
  <c r="Q254" i="123"/>
  <c r="P234" i="123"/>
  <c r="P201" i="123" s="1"/>
  <c r="O234" i="123"/>
  <c r="O201" i="123" s="1"/>
  <c r="N234" i="123"/>
  <c r="N201" i="123" s="1"/>
  <c r="M234" i="123"/>
  <c r="M201" i="123" s="1"/>
  <c r="L234" i="123"/>
  <c r="L201" i="123" s="1"/>
  <c r="K234" i="123"/>
  <c r="K201" i="123" s="1"/>
  <c r="J234" i="123"/>
  <c r="J201" i="123" s="1"/>
  <c r="I234" i="123"/>
  <c r="I201" i="123" s="1"/>
  <c r="H234" i="123"/>
  <c r="H201" i="123" s="1"/>
  <c r="G234" i="123"/>
  <c r="G201" i="123" s="1"/>
  <c r="Q233" i="123"/>
  <c r="Q232" i="123"/>
  <c r="Q231" i="123"/>
  <c r="F230" i="123"/>
  <c r="Q230" i="123" s="1"/>
  <c r="Q229" i="123"/>
  <c r="F228" i="123"/>
  <c r="Q228" i="123" s="1"/>
  <c r="Q227" i="123"/>
  <c r="Q226" i="123"/>
  <c r="Q225" i="123"/>
  <c r="Q224" i="123"/>
  <c r="P217" i="123"/>
  <c r="P200" i="123" s="1"/>
  <c r="O217" i="123"/>
  <c r="O200" i="123" s="1"/>
  <c r="N217" i="123"/>
  <c r="N200" i="123" s="1"/>
  <c r="M217" i="123"/>
  <c r="M200" i="123" s="1"/>
  <c r="L217" i="123"/>
  <c r="K217" i="123"/>
  <c r="K200" i="123" s="1"/>
  <c r="J217" i="123"/>
  <c r="J200" i="123" s="1"/>
  <c r="I217" i="123"/>
  <c r="I200" i="123" s="1"/>
  <c r="H217" i="123"/>
  <c r="H200" i="123" s="1"/>
  <c r="G217" i="123"/>
  <c r="G200" i="123" s="1"/>
  <c r="F217" i="123"/>
  <c r="F200" i="123" s="1"/>
  <c r="Q216" i="123"/>
  <c r="Q215" i="123"/>
  <c r="Q214" i="123"/>
  <c r="Q213" i="123"/>
  <c r="Q212" i="123"/>
  <c r="Q211" i="123"/>
  <c r="Q210" i="123"/>
  <c r="Q209" i="123"/>
  <c r="P189" i="123"/>
  <c r="P158" i="123" s="1"/>
  <c r="O189" i="123"/>
  <c r="O158" i="123" s="1"/>
  <c r="N189" i="123"/>
  <c r="N158" i="123" s="1"/>
  <c r="M189" i="123"/>
  <c r="M158" i="123" s="1"/>
  <c r="L189" i="123"/>
  <c r="L158" i="123" s="1"/>
  <c r="K189" i="123"/>
  <c r="K158" i="123" s="1"/>
  <c r="J189" i="123"/>
  <c r="J158" i="123" s="1"/>
  <c r="I189" i="123"/>
  <c r="I158" i="123" s="1"/>
  <c r="H189" i="123"/>
  <c r="H158" i="123" s="1"/>
  <c r="G189" i="123"/>
  <c r="G158" i="123" s="1"/>
  <c r="Q188" i="123"/>
  <c r="Q187" i="123"/>
  <c r="F186" i="123"/>
  <c r="Q186" i="123" s="1"/>
  <c r="Q185" i="123"/>
  <c r="F184" i="123"/>
  <c r="Q184" i="123" s="1"/>
  <c r="Q183" i="123"/>
  <c r="Q182" i="123"/>
  <c r="Q181" i="123"/>
  <c r="Q180" i="123"/>
  <c r="P173" i="123"/>
  <c r="P157" i="123" s="1"/>
  <c r="O173" i="123"/>
  <c r="O157" i="123" s="1"/>
  <c r="N173" i="123"/>
  <c r="N157" i="123" s="1"/>
  <c r="M173" i="123"/>
  <c r="M157" i="123" s="1"/>
  <c r="L173" i="123"/>
  <c r="K173" i="123"/>
  <c r="K157" i="123" s="1"/>
  <c r="J173" i="123"/>
  <c r="J157" i="123" s="1"/>
  <c r="I173" i="123"/>
  <c r="I157" i="123" s="1"/>
  <c r="H173" i="123"/>
  <c r="H157" i="123" s="1"/>
  <c r="G173" i="123"/>
  <c r="G157" i="123" s="1"/>
  <c r="F173" i="123"/>
  <c r="F157" i="123" s="1"/>
  <c r="Q172" i="123"/>
  <c r="Q171" i="123"/>
  <c r="Q170" i="123"/>
  <c r="Q169" i="123"/>
  <c r="Q168" i="123"/>
  <c r="Q167" i="123"/>
  <c r="Q166" i="123"/>
  <c r="P146" i="123"/>
  <c r="P121" i="123" s="1"/>
  <c r="O146" i="123"/>
  <c r="O121" i="123" s="1"/>
  <c r="N146" i="123"/>
  <c r="N121" i="123" s="1"/>
  <c r="M146" i="123"/>
  <c r="M121" i="123" s="1"/>
  <c r="L146" i="123"/>
  <c r="L121" i="123" s="1"/>
  <c r="K146" i="123"/>
  <c r="K121" i="123" s="1"/>
  <c r="J146" i="123"/>
  <c r="J121" i="123" s="1"/>
  <c r="I146" i="123"/>
  <c r="I121" i="123" s="1"/>
  <c r="H146" i="123"/>
  <c r="H121" i="123" s="1"/>
  <c r="G146" i="123"/>
  <c r="G121" i="123" s="1"/>
  <c r="Q145" i="123"/>
  <c r="F144" i="123"/>
  <c r="Q144" i="123" s="1"/>
  <c r="Q143" i="123"/>
  <c r="Q142" i="123"/>
  <c r="Q141" i="123"/>
  <c r="Q140" i="123"/>
  <c r="P133" i="123"/>
  <c r="P120" i="123" s="1"/>
  <c r="O133" i="123"/>
  <c r="O120" i="123" s="1"/>
  <c r="N133" i="123"/>
  <c r="N120" i="123" s="1"/>
  <c r="M133" i="123"/>
  <c r="M120" i="123" s="1"/>
  <c r="L133" i="123"/>
  <c r="K133" i="123"/>
  <c r="K120" i="123" s="1"/>
  <c r="J133" i="123"/>
  <c r="J120" i="123" s="1"/>
  <c r="I133" i="123"/>
  <c r="I120" i="123" s="1"/>
  <c r="H133" i="123"/>
  <c r="H120" i="123" s="1"/>
  <c r="G133" i="123"/>
  <c r="G120" i="123" s="1"/>
  <c r="F133" i="123"/>
  <c r="F120" i="123" s="1"/>
  <c r="Q132" i="123"/>
  <c r="Q131" i="123"/>
  <c r="Q130" i="123"/>
  <c r="Q129" i="123"/>
  <c r="P109" i="123"/>
  <c r="P82" i="123" s="1"/>
  <c r="O109" i="123"/>
  <c r="O82" i="123" s="1"/>
  <c r="N109" i="123"/>
  <c r="N82" i="123" s="1"/>
  <c r="M109" i="123"/>
  <c r="M82" i="123" s="1"/>
  <c r="L109" i="123"/>
  <c r="L82" i="123" s="1"/>
  <c r="K109" i="123"/>
  <c r="K82" i="123" s="1"/>
  <c r="J109" i="123"/>
  <c r="J82" i="123" s="1"/>
  <c r="I109" i="123"/>
  <c r="I82" i="123" s="1"/>
  <c r="H109" i="123"/>
  <c r="H82" i="123" s="1"/>
  <c r="G109" i="123"/>
  <c r="G82" i="123" s="1"/>
  <c r="Q108" i="123"/>
  <c r="Q107" i="123"/>
  <c r="F106" i="123"/>
  <c r="Q106" i="123" s="1"/>
  <c r="Q105" i="123"/>
  <c r="Q104" i="123"/>
  <c r="Q103" i="123"/>
  <c r="Q102" i="123"/>
  <c r="P95" i="123"/>
  <c r="P81" i="123" s="1"/>
  <c r="O95" i="123"/>
  <c r="O81" i="123" s="1"/>
  <c r="N95" i="123"/>
  <c r="N81" i="123" s="1"/>
  <c r="M95" i="123"/>
  <c r="M81" i="123" s="1"/>
  <c r="L95" i="123"/>
  <c r="L81" i="123" s="1"/>
  <c r="K95" i="123"/>
  <c r="K81" i="123" s="1"/>
  <c r="J95" i="123"/>
  <c r="J81" i="123" s="1"/>
  <c r="I95" i="123"/>
  <c r="I81" i="123" s="1"/>
  <c r="H95" i="123"/>
  <c r="H81" i="123" s="1"/>
  <c r="G95" i="123"/>
  <c r="F95" i="123"/>
  <c r="F81" i="123" s="1"/>
  <c r="Q94" i="123"/>
  <c r="Q93" i="123"/>
  <c r="Q92" i="123"/>
  <c r="Q91" i="123"/>
  <c r="Q90" i="123"/>
  <c r="N331" i="121" l="1"/>
  <c r="F329" i="121"/>
  <c r="M251" i="121"/>
  <c r="K282" i="121"/>
  <c r="L282" i="121" s="1"/>
  <c r="F83" i="121"/>
  <c r="F85" i="121" s="1"/>
  <c r="L346" i="121"/>
  <c r="J346" i="121"/>
  <c r="K343" i="121"/>
  <c r="J343" i="121" s="1"/>
  <c r="I268" i="121"/>
  <c r="N251" i="121"/>
  <c r="M331" i="121"/>
  <c r="K149" i="121"/>
  <c r="L149" i="121" s="1"/>
  <c r="K362" i="121"/>
  <c r="I360" i="121"/>
  <c r="I346" i="121"/>
  <c r="K237" i="121"/>
  <c r="L237" i="121" s="1"/>
  <c r="L347" i="121"/>
  <c r="J347" i="121"/>
  <c r="L356" i="121"/>
  <c r="J356" i="121"/>
  <c r="L348" i="121"/>
  <c r="J348" i="121"/>
  <c r="L357" i="121"/>
  <c r="J357" i="121"/>
  <c r="L358" i="121"/>
  <c r="J358" i="121"/>
  <c r="L344" i="121"/>
  <c r="J344" i="121"/>
  <c r="J359" i="121"/>
  <c r="L359" i="121"/>
  <c r="L345" i="121"/>
  <c r="J345" i="121"/>
  <c r="J360" i="121"/>
  <c r="L360" i="121"/>
  <c r="I363" i="121"/>
  <c r="I330" i="121" s="1"/>
  <c r="H330" i="121"/>
  <c r="K363" i="121"/>
  <c r="L361" i="121"/>
  <c r="J361" i="121"/>
  <c r="I358" i="121"/>
  <c r="I348" i="121"/>
  <c r="I361" i="121"/>
  <c r="F330" i="121"/>
  <c r="I345" i="121"/>
  <c r="H349" i="121"/>
  <c r="I357" i="121"/>
  <c r="I344" i="121"/>
  <c r="I356" i="121"/>
  <c r="I347" i="121"/>
  <c r="G363" i="121"/>
  <c r="G330" i="121" s="1"/>
  <c r="G331" i="121" s="1"/>
  <c r="I359" i="121"/>
  <c r="L178" i="121"/>
  <c r="J178" i="121"/>
  <c r="K263" i="121"/>
  <c r="I178" i="121"/>
  <c r="M124" i="121"/>
  <c r="F161" i="121"/>
  <c r="F163" i="121" s="1"/>
  <c r="M206" i="121"/>
  <c r="N206" i="121"/>
  <c r="M85" i="121"/>
  <c r="N292" i="121"/>
  <c r="N85" i="121"/>
  <c r="K152" i="121"/>
  <c r="K221" i="121"/>
  <c r="F249" i="121"/>
  <c r="F251" i="121" s="1"/>
  <c r="J110" i="121"/>
  <c r="L110" i="121"/>
  <c r="K306" i="121"/>
  <c r="K280" i="121"/>
  <c r="J280" i="121" s="1"/>
  <c r="I218" i="121"/>
  <c r="K99" i="121"/>
  <c r="N124" i="121"/>
  <c r="F122" i="121"/>
  <c r="F124" i="121" s="1"/>
  <c r="K240" i="121"/>
  <c r="K307" i="121"/>
  <c r="M163" i="121"/>
  <c r="K196" i="121"/>
  <c r="K175" i="121"/>
  <c r="J175" i="121" s="1"/>
  <c r="I110" i="121"/>
  <c r="K113" i="121"/>
  <c r="F290" i="121"/>
  <c r="F292" i="121" s="1"/>
  <c r="F204" i="121"/>
  <c r="F206" i="121" s="1"/>
  <c r="I97" i="121"/>
  <c r="I189" i="121"/>
  <c r="K317" i="121"/>
  <c r="K138" i="121"/>
  <c r="M292" i="121"/>
  <c r="K304" i="121"/>
  <c r="J304" i="121" s="1"/>
  <c r="J308" i="121"/>
  <c r="L308" i="121"/>
  <c r="L321" i="121"/>
  <c r="J321" i="121"/>
  <c r="L319" i="121"/>
  <c r="J319" i="121"/>
  <c r="K309" i="121"/>
  <c r="I309" i="121"/>
  <c r="I290" i="121" s="1"/>
  <c r="H290" i="121"/>
  <c r="J320" i="121"/>
  <c r="L320" i="121"/>
  <c r="J316" i="121"/>
  <c r="L316" i="121"/>
  <c r="J305" i="121"/>
  <c r="L305" i="121"/>
  <c r="K318" i="121"/>
  <c r="I305" i="121"/>
  <c r="I316" i="121"/>
  <c r="I319" i="121"/>
  <c r="H322" i="121"/>
  <c r="I308" i="121"/>
  <c r="G309" i="121"/>
  <c r="G290" i="121" s="1"/>
  <c r="I321" i="121"/>
  <c r="G322" i="121"/>
  <c r="G291" i="121" s="1"/>
  <c r="I320" i="121"/>
  <c r="L266" i="121"/>
  <c r="J266" i="121"/>
  <c r="I278" i="121"/>
  <c r="L267" i="121"/>
  <c r="J267" i="121"/>
  <c r="L265" i="121"/>
  <c r="J265" i="121"/>
  <c r="L276" i="121"/>
  <c r="J276" i="121"/>
  <c r="L277" i="121"/>
  <c r="J277" i="121"/>
  <c r="I266" i="121"/>
  <c r="J278" i="121"/>
  <c r="L279" i="121"/>
  <c r="J279" i="121"/>
  <c r="K269" i="121"/>
  <c r="I269" i="121"/>
  <c r="I249" i="121" s="1"/>
  <c r="K264" i="121"/>
  <c r="I264" i="121"/>
  <c r="L268" i="121"/>
  <c r="J268" i="121"/>
  <c r="K281" i="121"/>
  <c r="I281" i="121"/>
  <c r="I276" i="121"/>
  <c r="I267" i="121"/>
  <c r="G283" i="121"/>
  <c r="G250" i="121" s="1"/>
  <c r="I279" i="121"/>
  <c r="H283" i="121"/>
  <c r="G269" i="121"/>
  <c r="G249" i="121" s="1"/>
  <c r="I265" i="121"/>
  <c r="I277" i="121"/>
  <c r="L239" i="121"/>
  <c r="J239" i="121"/>
  <c r="L234" i="121"/>
  <c r="J234" i="121"/>
  <c r="L219" i="121"/>
  <c r="J219" i="121"/>
  <c r="L241" i="121"/>
  <c r="J241" i="121"/>
  <c r="I226" i="121"/>
  <c r="I204" i="121" s="1"/>
  <c r="K226" i="121"/>
  <c r="H204" i="121"/>
  <c r="L233" i="121"/>
  <c r="J233" i="121"/>
  <c r="L236" i="121"/>
  <c r="J236" i="121"/>
  <c r="L222" i="121"/>
  <c r="J222" i="121"/>
  <c r="L238" i="121"/>
  <c r="J238" i="121"/>
  <c r="L223" i="121"/>
  <c r="J223" i="121"/>
  <c r="K235" i="121"/>
  <c r="I219" i="121"/>
  <c r="K224" i="121"/>
  <c r="I233" i="121"/>
  <c r="I241" i="121"/>
  <c r="G242" i="121"/>
  <c r="G205" i="121" s="1"/>
  <c r="I236" i="121"/>
  <c r="H242" i="121"/>
  <c r="K225" i="121"/>
  <c r="K220" i="121"/>
  <c r="I223" i="121"/>
  <c r="L218" i="121"/>
  <c r="I238" i="121"/>
  <c r="I222" i="121"/>
  <c r="G226" i="121"/>
  <c r="G204" i="121" s="1"/>
  <c r="I239" i="121"/>
  <c r="I234" i="121"/>
  <c r="N163" i="121"/>
  <c r="J190" i="121"/>
  <c r="L190" i="121"/>
  <c r="L191" i="121"/>
  <c r="J191" i="121"/>
  <c r="L177" i="121"/>
  <c r="J177" i="121"/>
  <c r="L192" i="121"/>
  <c r="J192" i="121"/>
  <c r="L189" i="121"/>
  <c r="J189" i="121"/>
  <c r="L176" i="121"/>
  <c r="J176" i="121"/>
  <c r="L179" i="121"/>
  <c r="J179" i="121"/>
  <c r="L180" i="121"/>
  <c r="J180" i="121"/>
  <c r="J193" i="121"/>
  <c r="L193" i="121"/>
  <c r="K182" i="121"/>
  <c r="I182" i="121"/>
  <c r="I161" i="121" s="1"/>
  <c r="H161" i="121"/>
  <c r="L194" i="121"/>
  <c r="J194" i="121"/>
  <c r="L195" i="121"/>
  <c r="J195" i="121"/>
  <c r="I191" i="121"/>
  <c r="I194" i="121"/>
  <c r="I176" i="121"/>
  <c r="K181" i="121"/>
  <c r="I179" i="121"/>
  <c r="G197" i="121"/>
  <c r="G162" i="121" s="1"/>
  <c r="I192" i="121"/>
  <c r="H197" i="121"/>
  <c r="G182" i="121"/>
  <c r="G161" i="121" s="1"/>
  <c r="I195" i="121"/>
  <c r="I177" i="121"/>
  <c r="I193" i="121"/>
  <c r="I190" i="121"/>
  <c r="I180" i="121"/>
  <c r="L137" i="121"/>
  <c r="J137" i="121"/>
  <c r="L140" i="121"/>
  <c r="J140" i="121"/>
  <c r="K141" i="121"/>
  <c r="H122" i="121"/>
  <c r="I141" i="121"/>
  <c r="I122" i="121" s="1"/>
  <c r="L153" i="121"/>
  <c r="J153" i="121"/>
  <c r="K136" i="121"/>
  <c r="K150" i="121"/>
  <c r="I137" i="121"/>
  <c r="K139" i="121"/>
  <c r="G154" i="121"/>
  <c r="G123" i="121" s="1"/>
  <c r="K148" i="121"/>
  <c r="G141" i="121"/>
  <c r="G122" i="121" s="1"/>
  <c r="K151" i="121"/>
  <c r="I153" i="121"/>
  <c r="I140" i="121"/>
  <c r="H154" i="121"/>
  <c r="J111" i="121"/>
  <c r="L111" i="121"/>
  <c r="L101" i="121"/>
  <c r="J101" i="121"/>
  <c r="L114" i="121"/>
  <c r="J114" i="121"/>
  <c r="K102" i="121"/>
  <c r="I102" i="121"/>
  <c r="I83" i="121" s="1"/>
  <c r="H83" i="121"/>
  <c r="L98" i="121"/>
  <c r="J98" i="121"/>
  <c r="I98" i="121"/>
  <c r="K100" i="121"/>
  <c r="G115" i="121"/>
  <c r="G84" i="121" s="1"/>
  <c r="K109" i="121"/>
  <c r="H115" i="121"/>
  <c r="G102" i="121"/>
  <c r="G83" i="121" s="1"/>
  <c r="K112" i="121"/>
  <c r="I111" i="121"/>
  <c r="I114" i="121"/>
  <c r="I101" i="121"/>
  <c r="L97" i="121"/>
  <c r="L288" i="123"/>
  <c r="K288" i="123"/>
  <c r="K247" i="123"/>
  <c r="N327" i="123"/>
  <c r="M327" i="123"/>
  <c r="P327" i="123"/>
  <c r="P288" i="123"/>
  <c r="M288" i="123"/>
  <c r="O288" i="123"/>
  <c r="O327" i="123"/>
  <c r="I288" i="123"/>
  <c r="J288" i="123"/>
  <c r="Q340" i="123"/>
  <c r="Q325" i="123" s="1"/>
  <c r="F355" i="123"/>
  <c r="Q355" i="123" s="1"/>
  <c r="Q326" i="123" s="1"/>
  <c r="I327" i="123"/>
  <c r="J327" i="123"/>
  <c r="F314" i="123"/>
  <c r="Q314" i="123" s="1"/>
  <c r="Q287" i="123" s="1"/>
  <c r="G327" i="123"/>
  <c r="N288" i="123"/>
  <c r="K327" i="123"/>
  <c r="H327" i="123"/>
  <c r="L325" i="123"/>
  <c r="L327" i="123" s="1"/>
  <c r="G288" i="123"/>
  <c r="H288" i="123"/>
  <c r="Q300" i="123"/>
  <c r="Q286" i="123" s="1"/>
  <c r="J247" i="123"/>
  <c r="P202" i="123"/>
  <c r="L247" i="123"/>
  <c r="N202" i="123"/>
  <c r="P159" i="123"/>
  <c r="O159" i="123"/>
  <c r="K83" i="123"/>
  <c r="O202" i="123"/>
  <c r="P122" i="123"/>
  <c r="F234" i="123"/>
  <c r="Q234" i="123" s="1"/>
  <c r="Q201" i="123" s="1"/>
  <c r="F189" i="123"/>
  <c r="Q189" i="123" s="1"/>
  <c r="Q158" i="123" s="1"/>
  <c r="G159" i="123"/>
  <c r="J83" i="123"/>
  <c r="Q173" i="123"/>
  <c r="Q157" i="123" s="1"/>
  <c r="Q217" i="123"/>
  <c r="Q200" i="123" s="1"/>
  <c r="J159" i="123"/>
  <c r="K159" i="123"/>
  <c r="J202" i="123"/>
  <c r="K202" i="123"/>
  <c r="P247" i="123"/>
  <c r="L83" i="123"/>
  <c r="N122" i="123"/>
  <c r="N159" i="123"/>
  <c r="O122" i="123"/>
  <c r="Q260" i="123"/>
  <c r="Q245" i="123" s="1"/>
  <c r="N247" i="123"/>
  <c r="O247" i="123"/>
  <c r="H247" i="123"/>
  <c r="M247" i="123"/>
  <c r="I247" i="123"/>
  <c r="G245" i="123"/>
  <c r="G247" i="123" s="1"/>
  <c r="F275" i="123"/>
  <c r="G202" i="123"/>
  <c r="H202" i="123"/>
  <c r="M202" i="123"/>
  <c r="I202" i="123"/>
  <c r="L200" i="123"/>
  <c r="L202" i="123" s="1"/>
  <c r="M159" i="123"/>
  <c r="H159" i="123"/>
  <c r="I159" i="123"/>
  <c r="L157" i="123"/>
  <c r="L159" i="123" s="1"/>
  <c r="F146" i="123"/>
  <c r="Q146" i="123" s="1"/>
  <c r="Q121" i="123" s="1"/>
  <c r="I83" i="123"/>
  <c r="G122" i="123"/>
  <c r="O83" i="123"/>
  <c r="Q133" i="123"/>
  <c r="Q120" i="123" s="1"/>
  <c r="J122" i="123"/>
  <c r="K122" i="123"/>
  <c r="Q95" i="123"/>
  <c r="Q81" i="123" s="1"/>
  <c r="P83" i="123"/>
  <c r="M83" i="123"/>
  <c r="N83" i="123"/>
  <c r="H122" i="123"/>
  <c r="I122" i="123"/>
  <c r="M122" i="123"/>
  <c r="L120" i="123"/>
  <c r="L122" i="123" s="1"/>
  <c r="H83" i="123"/>
  <c r="F109" i="123"/>
  <c r="G81" i="123"/>
  <c r="G83" i="123" s="1"/>
  <c r="L343" i="121" l="1"/>
  <c r="J282" i="121"/>
  <c r="F331" i="121"/>
  <c r="L280" i="121"/>
  <c r="J237" i="121"/>
  <c r="L175" i="121"/>
  <c r="J149" i="121"/>
  <c r="L362" i="121"/>
  <c r="J362" i="121"/>
  <c r="K330" i="121"/>
  <c r="J363" i="121"/>
  <c r="J330" i="121" s="1"/>
  <c r="L363" i="121"/>
  <c r="L330" i="121" s="1"/>
  <c r="K349" i="121"/>
  <c r="I349" i="121"/>
  <c r="I329" i="121" s="1"/>
  <c r="I331" i="121" s="1"/>
  <c r="H329" i="121"/>
  <c r="H331" i="121" s="1"/>
  <c r="G163" i="121"/>
  <c r="L221" i="121"/>
  <c r="J221" i="121"/>
  <c r="L152" i="121"/>
  <c r="J152" i="121"/>
  <c r="L263" i="121"/>
  <c r="J263" i="121"/>
  <c r="L99" i="121"/>
  <c r="J99" i="121"/>
  <c r="L306" i="121"/>
  <c r="J306" i="121"/>
  <c r="L317" i="121"/>
  <c r="J317" i="121"/>
  <c r="L240" i="121"/>
  <c r="J240" i="121"/>
  <c r="L113" i="121"/>
  <c r="J113" i="121"/>
  <c r="L196" i="121"/>
  <c r="J196" i="121"/>
  <c r="G206" i="121"/>
  <c r="L138" i="121"/>
  <c r="J138" i="121"/>
  <c r="G292" i="121"/>
  <c r="L307" i="121"/>
  <c r="J307" i="121"/>
  <c r="L304" i="121"/>
  <c r="L318" i="121"/>
  <c r="J318" i="121"/>
  <c r="H291" i="121"/>
  <c r="H292" i="121" s="1"/>
  <c r="K322" i="121"/>
  <c r="I322" i="121"/>
  <c r="I291" i="121" s="1"/>
  <c r="I292" i="121" s="1"/>
  <c r="L309" i="121"/>
  <c r="L290" i="121" s="1"/>
  <c r="K290" i="121"/>
  <c r="J309" i="121"/>
  <c r="J290" i="121" s="1"/>
  <c r="L264" i="121"/>
  <c r="J264" i="121"/>
  <c r="G251" i="121"/>
  <c r="L269" i="121"/>
  <c r="L249" i="121" s="1"/>
  <c r="J269" i="121"/>
  <c r="J249" i="121" s="1"/>
  <c r="K249" i="121"/>
  <c r="H250" i="121"/>
  <c r="H251" i="121" s="1"/>
  <c r="K283" i="121"/>
  <c r="I283" i="121"/>
  <c r="I250" i="121" s="1"/>
  <c r="I251" i="121" s="1"/>
  <c r="L281" i="121"/>
  <c r="J281" i="121"/>
  <c r="L226" i="121"/>
  <c r="L204" i="121" s="1"/>
  <c r="J226" i="121"/>
  <c r="J204" i="121" s="1"/>
  <c r="K204" i="121"/>
  <c r="J224" i="121"/>
  <c r="L224" i="121"/>
  <c r="L235" i="121"/>
  <c r="J235" i="121"/>
  <c r="L220" i="121"/>
  <c r="J220" i="121"/>
  <c r="L225" i="121"/>
  <c r="J225" i="121"/>
  <c r="H205" i="121"/>
  <c r="H206" i="121" s="1"/>
  <c r="K242" i="121"/>
  <c r="I242" i="121"/>
  <c r="I205" i="121" s="1"/>
  <c r="I206" i="121" s="1"/>
  <c r="H162" i="121"/>
  <c r="H163" i="121" s="1"/>
  <c r="K197" i="121"/>
  <c r="I197" i="121"/>
  <c r="I162" i="121" s="1"/>
  <c r="I163" i="121" s="1"/>
  <c r="J182" i="121"/>
  <c r="J161" i="121" s="1"/>
  <c r="L182" i="121"/>
  <c r="L161" i="121" s="1"/>
  <c r="K161" i="121"/>
  <c r="L181" i="121"/>
  <c r="J181" i="121"/>
  <c r="L151" i="121"/>
  <c r="J151" i="121"/>
  <c r="L148" i="121"/>
  <c r="J148" i="121"/>
  <c r="G124" i="121"/>
  <c r="L141" i="121"/>
  <c r="L122" i="121" s="1"/>
  <c r="J141" i="121"/>
  <c r="J122" i="121" s="1"/>
  <c r="K122" i="121"/>
  <c r="J139" i="121"/>
  <c r="L139" i="121"/>
  <c r="J150" i="121"/>
  <c r="L150" i="121"/>
  <c r="J136" i="121"/>
  <c r="L136" i="121"/>
  <c r="H123" i="121"/>
  <c r="H124" i="121" s="1"/>
  <c r="K154" i="121"/>
  <c r="I154" i="121"/>
  <c r="I123" i="121" s="1"/>
  <c r="I124" i="121" s="1"/>
  <c r="L112" i="121"/>
  <c r="J112" i="121"/>
  <c r="L102" i="121"/>
  <c r="L83" i="121" s="1"/>
  <c r="J102" i="121"/>
  <c r="J83" i="121" s="1"/>
  <c r="K83" i="121"/>
  <c r="H84" i="121"/>
  <c r="H85" i="121" s="1"/>
  <c r="K115" i="121"/>
  <c r="I115" i="121"/>
  <c r="I84" i="121" s="1"/>
  <c r="I85" i="121" s="1"/>
  <c r="L109" i="121"/>
  <c r="J109" i="121"/>
  <c r="G85" i="121"/>
  <c r="J100" i="121"/>
  <c r="L100" i="121"/>
  <c r="Q159" i="123"/>
  <c r="F326" i="123"/>
  <c r="F327" i="123" s="1"/>
  <c r="Q327" i="123"/>
  <c r="Q288" i="123"/>
  <c r="F287" i="123"/>
  <c r="F288" i="123" s="1"/>
  <c r="F158" i="123"/>
  <c r="F159" i="123" s="1"/>
  <c r="F201" i="123"/>
  <c r="F202" i="123" s="1"/>
  <c r="Q202" i="123"/>
  <c r="F121" i="123"/>
  <c r="F122" i="123" s="1"/>
  <c r="Q122" i="123"/>
  <c r="Q275" i="123"/>
  <c r="Q246" i="123" s="1"/>
  <c r="Q247" i="123" s="1"/>
  <c r="F246" i="123"/>
  <c r="F247" i="123" s="1"/>
  <c r="F82" i="123"/>
  <c r="F83" i="123" s="1"/>
  <c r="Q109" i="123"/>
  <c r="Q82" i="123" s="1"/>
  <c r="Q83" i="123" s="1"/>
  <c r="L349" i="121" l="1"/>
  <c r="L329" i="121" s="1"/>
  <c r="L331" i="121" s="1"/>
  <c r="K329" i="121"/>
  <c r="K331" i="121" s="1"/>
  <c r="J349" i="121"/>
  <c r="J329" i="121" s="1"/>
  <c r="J331" i="121" s="1"/>
  <c r="K291" i="121"/>
  <c r="K292" i="121" s="1"/>
  <c r="J322" i="121"/>
  <c r="J291" i="121" s="1"/>
  <c r="J292" i="121" s="1"/>
  <c r="L322" i="121"/>
  <c r="L291" i="121" s="1"/>
  <c r="L292" i="121" s="1"/>
  <c r="L283" i="121"/>
  <c r="L250" i="121" s="1"/>
  <c r="L251" i="121" s="1"/>
  <c r="J283" i="121"/>
  <c r="J250" i="121" s="1"/>
  <c r="J251" i="121" s="1"/>
  <c r="K250" i="121"/>
  <c r="K251" i="121" s="1"/>
  <c r="K205" i="121"/>
  <c r="K206" i="121" s="1"/>
  <c r="J242" i="121"/>
  <c r="J205" i="121" s="1"/>
  <c r="J206" i="121" s="1"/>
  <c r="L242" i="121"/>
  <c r="L205" i="121" s="1"/>
  <c r="L206" i="121" s="1"/>
  <c r="K162" i="121"/>
  <c r="K163" i="121" s="1"/>
  <c r="L197" i="121"/>
  <c r="L162" i="121" s="1"/>
  <c r="L163" i="121" s="1"/>
  <c r="J197" i="121"/>
  <c r="J162" i="121" s="1"/>
  <c r="J163" i="121" s="1"/>
  <c r="K123" i="121"/>
  <c r="K124" i="121" s="1"/>
  <c r="J154" i="121"/>
  <c r="J123" i="121" s="1"/>
  <c r="J124" i="121" s="1"/>
  <c r="L154" i="121"/>
  <c r="L123" i="121" s="1"/>
  <c r="L124" i="121" s="1"/>
  <c r="K84" i="121"/>
  <c r="K85" i="121" s="1"/>
  <c r="L115" i="121"/>
  <c r="L84" i="121" s="1"/>
  <c r="L85" i="121" s="1"/>
  <c r="J115" i="121"/>
  <c r="J84" i="121" s="1"/>
  <c r="J85" i="121" s="1"/>
  <c r="D28" i="156" l="1"/>
  <c r="D29" i="156"/>
  <c r="D30" i="156"/>
  <c r="D31" i="156"/>
  <c r="D32" i="156"/>
  <c r="D33" i="156"/>
  <c r="D34" i="156"/>
  <c r="K46" i="139"/>
  <c r="K40" i="139"/>
  <c r="J190" i="160"/>
  <c r="I190" i="160"/>
  <c r="R190" i="160"/>
  <c r="Q190" i="160"/>
  <c r="P190" i="160"/>
  <c r="O190" i="160"/>
  <c r="N190" i="160"/>
  <c r="M190" i="160"/>
  <c r="L190" i="160"/>
  <c r="K190" i="160"/>
  <c r="H190" i="160"/>
  <c r="G190" i="160"/>
  <c r="S189" i="160"/>
  <c r="S188" i="160"/>
  <c r="S187" i="160"/>
  <c r="S186" i="160"/>
  <c r="S185" i="160"/>
  <c r="S184" i="160"/>
  <c r="S183" i="160"/>
  <c r="S182" i="160"/>
  <c r="S181" i="160"/>
  <c r="S180" i="160"/>
  <c r="S179" i="160"/>
  <c r="S73" i="160"/>
  <c r="P148" i="159"/>
  <c r="O148" i="159"/>
  <c r="N148" i="159"/>
  <c r="M39" i="159" s="1"/>
  <c r="M148" i="159"/>
  <c r="L39" i="159" s="1"/>
  <c r="F148" i="159"/>
  <c r="E39" i="159" s="1"/>
  <c r="P135" i="159"/>
  <c r="O135" i="159"/>
  <c r="N135" i="159"/>
  <c r="M40" i="159" s="1"/>
  <c r="M135" i="159"/>
  <c r="L40" i="159" s="1"/>
  <c r="F135" i="159"/>
  <c r="E40" i="159" s="1"/>
  <c r="P123" i="159"/>
  <c r="O123" i="159"/>
  <c r="N123" i="159"/>
  <c r="M38" i="159" s="1"/>
  <c r="M123" i="159"/>
  <c r="L38" i="159" s="1"/>
  <c r="F123" i="159"/>
  <c r="E38" i="159" s="1"/>
  <c r="P110" i="159"/>
  <c r="O110" i="159"/>
  <c r="N110" i="159"/>
  <c r="M36" i="159" s="1"/>
  <c r="M110" i="159"/>
  <c r="L36" i="159" s="1"/>
  <c r="F110" i="159"/>
  <c r="E36" i="159" s="1"/>
  <c r="P95" i="159"/>
  <c r="O95" i="159"/>
  <c r="N95" i="159"/>
  <c r="M37" i="159" s="1"/>
  <c r="M95" i="159"/>
  <c r="L37" i="159" s="1"/>
  <c r="F95" i="159"/>
  <c r="E37" i="159" s="1"/>
  <c r="P81" i="159"/>
  <c r="O81" i="159"/>
  <c r="N81" i="159"/>
  <c r="M41" i="159" s="1"/>
  <c r="M81" i="159"/>
  <c r="L41" i="159" s="1"/>
  <c r="F81" i="159"/>
  <c r="E41" i="159" s="1"/>
  <c r="N70" i="159"/>
  <c r="M35" i="159" s="1"/>
  <c r="M70" i="159"/>
  <c r="L35" i="159" s="1"/>
  <c r="F70" i="159"/>
  <c r="E35" i="159" s="1"/>
  <c r="N58" i="159"/>
  <c r="M34" i="159" s="1"/>
  <c r="M58" i="159"/>
  <c r="L34" i="159" s="1"/>
  <c r="F58" i="159"/>
  <c r="E34" i="159" s="1"/>
  <c r="E25" i="159"/>
  <c r="E26" i="159" s="1"/>
  <c r="E27" i="159" s="1"/>
  <c r="G120" i="159" s="1"/>
  <c r="K28" i="157"/>
  <c r="K27" i="157"/>
  <c r="K26" i="157"/>
  <c r="K25" i="157"/>
  <c r="K24" i="157"/>
  <c r="K23" i="157"/>
  <c r="K22" i="157"/>
  <c r="K55" i="155"/>
  <c r="K54" i="155"/>
  <c r="K53" i="155"/>
  <c r="K52" i="155"/>
  <c r="K51" i="155"/>
  <c r="K50" i="155"/>
  <c r="K49" i="155"/>
  <c r="K48" i="155"/>
  <c r="K47" i="155"/>
  <c r="K46" i="155"/>
  <c r="I55" i="155"/>
  <c r="I54" i="155"/>
  <c r="I53" i="155"/>
  <c r="I52" i="155"/>
  <c r="I51" i="155"/>
  <c r="I50" i="155"/>
  <c r="I49" i="155"/>
  <c r="I48" i="155"/>
  <c r="I47" i="155"/>
  <c r="I46" i="155"/>
  <c r="F55" i="155"/>
  <c r="F54" i="155"/>
  <c r="F53" i="155"/>
  <c r="F52" i="155"/>
  <c r="F51" i="155"/>
  <c r="F50" i="155"/>
  <c r="F49" i="155"/>
  <c r="F48" i="155"/>
  <c r="F47" i="155"/>
  <c r="F46" i="155"/>
  <c r="J55" i="155"/>
  <c r="J54" i="155"/>
  <c r="J53" i="155"/>
  <c r="J52" i="155"/>
  <c r="J51" i="155"/>
  <c r="J50" i="155"/>
  <c r="J49" i="155"/>
  <c r="J48" i="155"/>
  <c r="J47" i="155"/>
  <c r="J46" i="155"/>
  <c r="H55" i="155"/>
  <c r="H54" i="155"/>
  <c r="H53" i="155"/>
  <c r="H52" i="155"/>
  <c r="H51" i="155"/>
  <c r="H50" i="155"/>
  <c r="H49" i="155"/>
  <c r="H48" i="155"/>
  <c r="H47" i="155"/>
  <c r="H46" i="155"/>
  <c r="G55" i="155"/>
  <c r="G54" i="155"/>
  <c r="G53" i="155"/>
  <c r="G52" i="155"/>
  <c r="G51" i="155"/>
  <c r="G50" i="155"/>
  <c r="G49" i="155"/>
  <c r="G48" i="155"/>
  <c r="G47" i="155"/>
  <c r="G46" i="155"/>
  <c r="K34" i="139"/>
  <c r="K35" i="139"/>
  <c r="K36" i="139"/>
  <c r="K37" i="139"/>
  <c r="K38" i="139"/>
  <c r="K39" i="139"/>
  <c r="K41" i="139"/>
  <c r="K42" i="139"/>
  <c r="K43" i="139"/>
  <c r="K44" i="139"/>
  <c r="K45" i="139"/>
  <c r="Q50" i="138"/>
  <c r="E58" i="155" l="1"/>
  <c r="S190" i="160"/>
  <c r="G132" i="159"/>
  <c r="H132" i="159"/>
  <c r="K132" i="159" s="1"/>
  <c r="L132" i="159" s="1"/>
  <c r="G49" i="159"/>
  <c r="H49" i="159"/>
  <c r="K49" i="159" s="1"/>
  <c r="J49" i="159" s="1"/>
  <c r="H52" i="159"/>
  <c r="K52" i="159" s="1"/>
  <c r="J52" i="159" s="1"/>
  <c r="H67" i="159"/>
  <c r="K67" i="159" s="1"/>
  <c r="G68" i="159"/>
  <c r="G106" i="159"/>
  <c r="G108" i="159"/>
  <c r="H108" i="159"/>
  <c r="K108" i="159" s="1"/>
  <c r="G77" i="159"/>
  <c r="G78" i="159"/>
  <c r="H48" i="159"/>
  <c r="K48" i="159" s="1"/>
  <c r="L48" i="159" s="1"/>
  <c r="H57" i="159"/>
  <c r="G142" i="159"/>
  <c r="G91" i="159"/>
  <c r="H118" i="159"/>
  <c r="K118" i="159" s="1"/>
  <c r="L118" i="159" s="1"/>
  <c r="H142" i="159"/>
  <c r="K142" i="159" s="1"/>
  <c r="L142" i="159" s="1"/>
  <c r="H66" i="159"/>
  <c r="I66" i="159" s="1"/>
  <c r="G92" i="159"/>
  <c r="G121" i="159"/>
  <c r="H145" i="159"/>
  <c r="K145" i="159" s="1"/>
  <c r="L145" i="159" s="1"/>
  <c r="G67" i="159"/>
  <c r="H92" i="159"/>
  <c r="I92" i="159" s="1"/>
  <c r="H121" i="159"/>
  <c r="K121" i="159" s="1"/>
  <c r="L121" i="159" s="1"/>
  <c r="H147" i="159"/>
  <c r="K147" i="159" s="1"/>
  <c r="J147" i="159" s="1"/>
  <c r="H68" i="159"/>
  <c r="K68" i="159" s="1"/>
  <c r="L68" i="159" s="1"/>
  <c r="G79" i="159"/>
  <c r="G103" i="159"/>
  <c r="H133" i="159"/>
  <c r="G50" i="159"/>
  <c r="H79" i="159"/>
  <c r="H89" i="159"/>
  <c r="H103" i="159"/>
  <c r="G134" i="159"/>
  <c r="H50" i="159"/>
  <c r="G55" i="159"/>
  <c r="H65" i="159"/>
  <c r="H134" i="159"/>
  <c r="G148" i="159"/>
  <c r="F39" i="159" s="1"/>
  <c r="G105" i="159"/>
  <c r="H56" i="159"/>
  <c r="H119" i="159"/>
  <c r="G90" i="159"/>
  <c r="H95" i="159"/>
  <c r="G147" i="159"/>
  <c r="H131" i="159"/>
  <c r="H123" i="159"/>
  <c r="G38" i="159" s="1"/>
  <c r="G118" i="159"/>
  <c r="G110" i="159"/>
  <c r="F36" i="159" s="1"/>
  <c r="H102" i="159"/>
  <c r="G89" i="159"/>
  <c r="G81" i="159"/>
  <c r="F41" i="159" s="1"/>
  <c r="H70" i="159"/>
  <c r="G65" i="159"/>
  <c r="H54" i="159"/>
  <c r="H144" i="159"/>
  <c r="G131" i="159"/>
  <c r="G123" i="159"/>
  <c r="F38" i="159" s="1"/>
  <c r="G102" i="159"/>
  <c r="H94" i="159"/>
  <c r="G70" i="159"/>
  <c r="F35" i="159" s="1"/>
  <c r="G54" i="159"/>
  <c r="G144" i="159"/>
  <c r="H107" i="159"/>
  <c r="G94" i="159"/>
  <c r="H78" i="159"/>
  <c r="H51" i="159"/>
  <c r="H120" i="159"/>
  <c r="G107" i="159"/>
  <c r="H91" i="159"/>
  <c r="H146" i="159"/>
  <c r="G133" i="159"/>
  <c r="H117" i="159"/>
  <c r="G104" i="159"/>
  <c r="H88" i="159"/>
  <c r="G56" i="159"/>
  <c r="G48" i="159"/>
  <c r="G146" i="159"/>
  <c r="H130" i="159"/>
  <c r="G117" i="159"/>
  <c r="H109" i="159"/>
  <c r="G88" i="159"/>
  <c r="H80" i="159"/>
  <c r="H53" i="159"/>
  <c r="H143" i="159"/>
  <c r="H135" i="159"/>
  <c r="G40" i="159" s="1"/>
  <c r="G130" i="159"/>
  <c r="H122" i="159"/>
  <c r="G109" i="159"/>
  <c r="H93" i="159"/>
  <c r="G80" i="159"/>
  <c r="H69" i="159"/>
  <c r="H58" i="159"/>
  <c r="G53" i="159"/>
  <c r="H148" i="159"/>
  <c r="G39" i="159" s="1"/>
  <c r="G143" i="159"/>
  <c r="G135" i="159"/>
  <c r="F40" i="159" s="1"/>
  <c r="G122" i="159"/>
  <c r="H106" i="159"/>
  <c r="G93" i="159"/>
  <c r="H77" i="159"/>
  <c r="G69" i="159"/>
  <c r="G58" i="159"/>
  <c r="F34" i="159" s="1"/>
  <c r="H55" i="159"/>
  <c r="H104" i="159"/>
  <c r="G51" i="159"/>
  <c r="G119" i="159"/>
  <c r="G95" i="159"/>
  <c r="F37" i="159" s="1"/>
  <c r="H105" i="159"/>
  <c r="H110" i="159"/>
  <c r="G36" i="159" s="1"/>
  <c r="G52" i="159"/>
  <c r="G57" i="159"/>
  <c r="G66" i="159"/>
  <c r="H81" i="159"/>
  <c r="G41" i="159" s="1"/>
  <c r="H90" i="159"/>
  <c r="G145" i="159"/>
  <c r="E60" i="155"/>
  <c r="J56" i="155"/>
  <c r="H56" i="155"/>
  <c r="F56" i="155"/>
  <c r="G56" i="155"/>
  <c r="K56" i="155"/>
  <c r="I56" i="155"/>
  <c r="Q42" i="138"/>
  <c r="Q43" i="138"/>
  <c r="Q44" i="138"/>
  <c r="Q45" i="138"/>
  <c r="Q46" i="138"/>
  <c r="Q47" i="138"/>
  <c r="Q48" i="138"/>
  <c r="Q49" i="138"/>
  <c r="E25" i="133"/>
  <c r="E25" i="134"/>
  <c r="E32" i="134"/>
  <c r="E35" i="134" s="1"/>
  <c r="E32" i="133"/>
  <c r="E35" i="133" s="1"/>
  <c r="P185" i="132"/>
  <c r="O185" i="132"/>
  <c r="N185" i="132"/>
  <c r="M185" i="132"/>
  <c r="L185" i="132"/>
  <c r="K185" i="132"/>
  <c r="J185" i="132"/>
  <c r="I185" i="132"/>
  <c r="H185" i="132"/>
  <c r="G185" i="132"/>
  <c r="Q184" i="132"/>
  <c r="Q183" i="132"/>
  <c r="Q182" i="132"/>
  <c r="Q181" i="132"/>
  <c r="Q180" i="132"/>
  <c r="Q179" i="132"/>
  <c r="Q178" i="132"/>
  <c r="Q177" i="132"/>
  <c r="Q176" i="132"/>
  <c r="Q175" i="132"/>
  <c r="Q174" i="132"/>
  <c r="Q68" i="132"/>
  <c r="I48" i="159" l="1"/>
  <c r="J48" i="159"/>
  <c r="L52" i="159"/>
  <c r="I49" i="159"/>
  <c r="J132" i="159"/>
  <c r="I108" i="159"/>
  <c r="I52" i="159"/>
  <c r="I67" i="159"/>
  <c r="L49" i="159"/>
  <c r="J108" i="159"/>
  <c r="I68" i="159"/>
  <c r="L108" i="159"/>
  <c r="I132" i="159"/>
  <c r="J68" i="159"/>
  <c r="K66" i="159"/>
  <c r="J66" i="159" s="1"/>
  <c r="J145" i="159"/>
  <c r="I145" i="159"/>
  <c r="I142" i="159"/>
  <c r="J121" i="159"/>
  <c r="I121" i="159"/>
  <c r="J118" i="159"/>
  <c r="J142" i="159"/>
  <c r="I147" i="159"/>
  <c r="K92" i="159"/>
  <c r="J92" i="159" s="1"/>
  <c r="I118" i="159"/>
  <c r="L147" i="159"/>
  <c r="I57" i="159"/>
  <c r="K57" i="159"/>
  <c r="I81" i="159"/>
  <c r="H41" i="159" s="1"/>
  <c r="K81" i="159"/>
  <c r="J41" i="159" s="1"/>
  <c r="K131" i="159"/>
  <c r="I131" i="159"/>
  <c r="I105" i="159"/>
  <c r="K105" i="159"/>
  <c r="I94" i="159"/>
  <c r="K94" i="159"/>
  <c r="K134" i="159"/>
  <c r="I134" i="159"/>
  <c r="I110" i="159"/>
  <c r="H36" i="159" s="1"/>
  <c r="K110" i="159"/>
  <c r="J36" i="159" s="1"/>
  <c r="K103" i="159"/>
  <c r="I103" i="159"/>
  <c r="K55" i="159"/>
  <c r="I55" i="159"/>
  <c r="I122" i="159"/>
  <c r="K122" i="159"/>
  <c r="I144" i="159"/>
  <c r="K144" i="159"/>
  <c r="G37" i="159"/>
  <c r="K95" i="159"/>
  <c r="I95" i="159"/>
  <c r="H37" i="159" s="1"/>
  <c r="K133" i="159"/>
  <c r="I133" i="159"/>
  <c r="J67" i="159"/>
  <c r="L67" i="159"/>
  <c r="K91" i="159"/>
  <c r="I91" i="159"/>
  <c r="I143" i="159"/>
  <c r="K143" i="159"/>
  <c r="K56" i="159"/>
  <c r="I56" i="159"/>
  <c r="I53" i="159"/>
  <c r="K53" i="159"/>
  <c r="K120" i="159"/>
  <c r="I120" i="159"/>
  <c r="I78" i="159"/>
  <c r="K78" i="159"/>
  <c r="K102" i="159"/>
  <c r="I102" i="159"/>
  <c r="K109" i="159"/>
  <c r="I109" i="159"/>
  <c r="K65" i="159"/>
  <c r="I65" i="159"/>
  <c r="I107" i="159"/>
  <c r="K107" i="159"/>
  <c r="K148" i="159"/>
  <c r="J39" i="159" s="1"/>
  <c r="I148" i="159"/>
  <c r="H39" i="159" s="1"/>
  <c r="K130" i="159"/>
  <c r="I130" i="159"/>
  <c r="K123" i="159"/>
  <c r="J38" i="159" s="1"/>
  <c r="I123" i="159"/>
  <c r="H38" i="159" s="1"/>
  <c r="K50" i="159"/>
  <c r="I50" i="159"/>
  <c r="I58" i="159"/>
  <c r="H34" i="159" s="1"/>
  <c r="G34" i="159"/>
  <c r="K58" i="159"/>
  <c r="I69" i="159"/>
  <c r="K69" i="159"/>
  <c r="K88" i="159"/>
  <c r="I88" i="159"/>
  <c r="K89" i="159"/>
  <c r="I89" i="159"/>
  <c r="I93" i="159"/>
  <c r="K93" i="159"/>
  <c r="K79" i="159"/>
  <c r="I79" i="159"/>
  <c r="K104" i="159"/>
  <c r="I104" i="159"/>
  <c r="K117" i="159"/>
  <c r="I117" i="159"/>
  <c r="K146" i="159"/>
  <c r="I146" i="159"/>
  <c r="K54" i="159"/>
  <c r="I54" i="159"/>
  <c r="I135" i="159"/>
  <c r="H40" i="159" s="1"/>
  <c r="K135" i="159"/>
  <c r="J40" i="159" s="1"/>
  <c r="K119" i="159"/>
  <c r="I119" i="159"/>
  <c r="K77" i="159"/>
  <c r="I77" i="159"/>
  <c r="G35" i="159"/>
  <c r="K70" i="159"/>
  <c r="I70" i="159"/>
  <c r="H35" i="159" s="1"/>
  <c r="K90" i="159"/>
  <c r="I90" i="159"/>
  <c r="K106" i="159"/>
  <c r="I106" i="159"/>
  <c r="K80" i="159"/>
  <c r="I80" i="159"/>
  <c r="I51" i="159"/>
  <c r="K51" i="159"/>
  <c r="Q185" i="132"/>
  <c r="L92" i="159" l="1"/>
  <c r="L66" i="159"/>
  <c r="L57" i="159"/>
  <c r="J57" i="159"/>
  <c r="J106" i="159"/>
  <c r="L106" i="159"/>
  <c r="J58" i="159"/>
  <c r="I34" i="159" s="1"/>
  <c r="L58" i="159"/>
  <c r="K34" i="159" s="1"/>
  <c r="J34" i="159"/>
  <c r="L109" i="159"/>
  <c r="J109" i="159"/>
  <c r="L103" i="159"/>
  <c r="J103" i="159"/>
  <c r="L146" i="159"/>
  <c r="J146" i="159"/>
  <c r="J110" i="159"/>
  <c r="I36" i="159" s="1"/>
  <c r="L110" i="159"/>
  <c r="K36" i="159" s="1"/>
  <c r="L90" i="159"/>
  <c r="J90" i="159"/>
  <c r="L102" i="159"/>
  <c r="J102" i="159"/>
  <c r="L117" i="159"/>
  <c r="J117" i="159"/>
  <c r="J78" i="159"/>
  <c r="L78" i="159"/>
  <c r="J70" i="159"/>
  <c r="I35" i="159" s="1"/>
  <c r="J35" i="159"/>
  <c r="L70" i="159"/>
  <c r="K35" i="159" s="1"/>
  <c r="J50" i="159"/>
  <c r="L50" i="159"/>
  <c r="L95" i="159"/>
  <c r="J95" i="159"/>
  <c r="J37" i="159"/>
  <c r="L104" i="159"/>
  <c r="J104" i="159"/>
  <c r="L123" i="159"/>
  <c r="K38" i="159" s="1"/>
  <c r="J123" i="159"/>
  <c r="I38" i="159" s="1"/>
  <c r="J120" i="159"/>
  <c r="L120" i="159"/>
  <c r="J144" i="159"/>
  <c r="L144" i="159"/>
  <c r="L134" i="159"/>
  <c r="J134" i="159"/>
  <c r="J77" i="159"/>
  <c r="L77" i="159"/>
  <c r="L79" i="159"/>
  <c r="J79" i="159"/>
  <c r="L53" i="159"/>
  <c r="J53" i="159"/>
  <c r="L94" i="159"/>
  <c r="J94" i="159"/>
  <c r="L93" i="159"/>
  <c r="J93" i="159"/>
  <c r="L130" i="159"/>
  <c r="J130" i="159"/>
  <c r="L122" i="159"/>
  <c r="J122" i="159"/>
  <c r="L119" i="159"/>
  <c r="J119" i="159"/>
  <c r="J105" i="159"/>
  <c r="L105" i="159"/>
  <c r="L133" i="159"/>
  <c r="J133" i="159"/>
  <c r="J51" i="159"/>
  <c r="L51" i="159"/>
  <c r="L135" i="159"/>
  <c r="K40" i="159" s="1"/>
  <c r="J135" i="159"/>
  <c r="I40" i="159" s="1"/>
  <c r="J148" i="159"/>
  <c r="I39" i="159" s="1"/>
  <c r="L148" i="159"/>
  <c r="K39" i="159" s="1"/>
  <c r="L56" i="159"/>
  <c r="J56" i="159"/>
  <c r="L89" i="159"/>
  <c r="J89" i="159"/>
  <c r="J107" i="159"/>
  <c r="L107" i="159"/>
  <c r="L143" i="159"/>
  <c r="J143" i="159"/>
  <c r="L55" i="159"/>
  <c r="J55" i="159"/>
  <c r="L131" i="159"/>
  <c r="J131" i="159"/>
  <c r="L88" i="159"/>
  <c r="J88" i="159"/>
  <c r="J81" i="159"/>
  <c r="I41" i="159" s="1"/>
  <c r="L81" i="159"/>
  <c r="K41" i="159" s="1"/>
  <c r="L80" i="159"/>
  <c r="J80" i="159"/>
  <c r="L54" i="159"/>
  <c r="J54" i="159"/>
  <c r="J69" i="159"/>
  <c r="L69" i="159"/>
  <c r="L65" i="159"/>
  <c r="J65" i="159"/>
  <c r="J91" i="159"/>
  <c r="L91" i="159"/>
  <c r="F64" i="123"/>
  <c r="F62" i="123"/>
  <c r="Q62" i="123" s="1"/>
  <c r="G70" i="123"/>
  <c r="G33" i="123" s="1"/>
  <c r="H70" i="123"/>
  <c r="H33" i="123" s="1"/>
  <c r="I70" i="123"/>
  <c r="I33" i="123" s="1"/>
  <c r="J70" i="123"/>
  <c r="J33" i="123" s="1"/>
  <c r="K70" i="123"/>
  <c r="K33" i="123" s="1"/>
  <c r="L70" i="123"/>
  <c r="L33" i="123" s="1"/>
  <c r="M70" i="123"/>
  <c r="M33" i="123" s="1"/>
  <c r="N70" i="123"/>
  <c r="N33" i="123" s="1"/>
  <c r="O70" i="123"/>
  <c r="O33" i="123" s="1"/>
  <c r="P70" i="123"/>
  <c r="P33" i="123" s="1"/>
  <c r="Q58" i="123"/>
  <c r="Q59" i="123"/>
  <c r="Q60" i="123"/>
  <c r="Q61" i="123"/>
  <c r="Q63" i="123"/>
  <c r="Q65" i="123"/>
  <c r="Q66" i="123"/>
  <c r="Q67" i="123"/>
  <c r="Q68" i="123"/>
  <c r="Q69" i="123"/>
  <c r="P51" i="123"/>
  <c r="P32" i="123" s="1"/>
  <c r="O51" i="123"/>
  <c r="O32" i="123" s="1"/>
  <c r="N51" i="123"/>
  <c r="N32" i="123" s="1"/>
  <c r="M51" i="123"/>
  <c r="M32" i="123" s="1"/>
  <c r="L51" i="123"/>
  <c r="L32" i="123" s="1"/>
  <c r="K51" i="123"/>
  <c r="K32" i="123" s="1"/>
  <c r="J51" i="123"/>
  <c r="J32" i="123" s="1"/>
  <c r="I51" i="123"/>
  <c r="I32" i="123" s="1"/>
  <c r="H51" i="123"/>
  <c r="H32" i="123" s="1"/>
  <c r="G51" i="123"/>
  <c r="G32" i="123" s="1"/>
  <c r="F51" i="123"/>
  <c r="Q50" i="123"/>
  <c r="Q49" i="123"/>
  <c r="Q48" i="123"/>
  <c r="Q47" i="123"/>
  <c r="Q46" i="123"/>
  <c r="Q45" i="123"/>
  <c r="Q44" i="123"/>
  <c r="Q43" i="123"/>
  <c r="Q42" i="123"/>
  <c r="Q41" i="123"/>
  <c r="P58" i="121"/>
  <c r="O58" i="121"/>
  <c r="N58" i="121"/>
  <c r="N34" i="121" s="1"/>
  <c r="M58" i="121"/>
  <c r="M34" i="121" s="1"/>
  <c r="F58" i="121"/>
  <c r="F34" i="121" s="1"/>
  <c r="M76" i="121"/>
  <c r="M35" i="121" s="1"/>
  <c r="O76" i="121"/>
  <c r="P76" i="121"/>
  <c r="N76" i="121"/>
  <c r="N35" i="121" s="1"/>
  <c r="F76" i="121"/>
  <c r="F35" i="121" s="1"/>
  <c r="E25" i="121"/>
  <c r="E26" i="121" s="1"/>
  <c r="E27" i="121" s="1"/>
  <c r="H73" i="121" s="1"/>
  <c r="P34" i="123" l="1"/>
  <c r="O34" i="123"/>
  <c r="N34" i="123"/>
  <c r="J34" i="123"/>
  <c r="I34" i="123"/>
  <c r="H34" i="123"/>
  <c r="G34" i="123"/>
  <c r="M34" i="123"/>
  <c r="L34" i="123"/>
  <c r="K34" i="123"/>
  <c r="F32" i="123"/>
  <c r="I37" i="159"/>
  <c r="K37" i="159"/>
  <c r="F70" i="123"/>
  <c r="Q64" i="123"/>
  <c r="Q51" i="123"/>
  <c r="Q32" i="123" s="1"/>
  <c r="H58" i="121"/>
  <c r="H57" i="121"/>
  <c r="I57" i="121" s="1"/>
  <c r="H56" i="121"/>
  <c r="K56" i="121" s="1"/>
  <c r="J56" i="121" s="1"/>
  <c r="H55" i="121"/>
  <c r="K55" i="121" s="1"/>
  <c r="L55" i="121" s="1"/>
  <c r="H54" i="121"/>
  <c r="I54" i="121" s="1"/>
  <c r="H53" i="121"/>
  <c r="I53" i="121" s="1"/>
  <c r="H52" i="121"/>
  <c r="I52" i="121" s="1"/>
  <c r="H51" i="121"/>
  <c r="I51" i="121" s="1"/>
  <c r="H50" i="121"/>
  <c r="K50" i="121" s="1"/>
  <c r="L50" i="121" s="1"/>
  <c r="H49" i="121"/>
  <c r="I49" i="121" s="1"/>
  <c r="H48" i="121"/>
  <c r="K48" i="121" s="1"/>
  <c r="L48" i="121" s="1"/>
  <c r="G58" i="121"/>
  <c r="G34" i="121" s="1"/>
  <c r="G57" i="121"/>
  <c r="G56" i="121"/>
  <c r="G55" i="121"/>
  <c r="G54" i="121"/>
  <c r="G53" i="121"/>
  <c r="G52" i="121"/>
  <c r="G51" i="121"/>
  <c r="G49" i="121"/>
  <c r="G50" i="121"/>
  <c r="G48" i="121"/>
  <c r="K73" i="121"/>
  <c r="I73" i="121"/>
  <c r="H68" i="121"/>
  <c r="G68" i="121"/>
  <c r="H71" i="121"/>
  <c r="H70" i="121"/>
  <c r="G76" i="121"/>
  <c r="G35" i="121" s="1"/>
  <c r="G71" i="121"/>
  <c r="H76" i="121"/>
  <c r="H35" i="121" s="1"/>
  <c r="G66" i="121"/>
  <c r="G74" i="121"/>
  <c r="H66" i="121"/>
  <c r="H74" i="121"/>
  <c r="G69" i="121"/>
  <c r="G72" i="121"/>
  <c r="G67" i="121"/>
  <c r="H67" i="121"/>
  <c r="H75" i="121"/>
  <c r="G65" i="121"/>
  <c r="G73" i="121"/>
  <c r="H69" i="121"/>
  <c r="H72" i="121"/>
  <c r="G75" i="121"/>
  <c r="G70" i="121"/>
  <c r="H65" i="121"/>
  <c r="F33" i="123" l="1"/>
  <c r="F34" i="123" s="1"/>
  <c r="I58" i="121"/>
  <c r="I34" i="121" s="1"/>
  <c r="H34" i="121"/>
  <c r="Q70" i="123"/>
  <c r="Q33" i="123" s="1"/>
  <c r="Q34" i="123" s="1"/>
  <c r="J55" i="121"/>
  <c r="I55" i="121"/>
  <c r="I56" i="121"/>
  <c r="L56" i="121"/>
  <c r="K57" i="121"/>
  <c r="J57" i="121" s="1"/>
  <c r="K58" i="121"/>
  <c r="J50" i="121"/>
  <c r="K54" i="121"/>
  <c r="J54" i="121" s="1"/>
  <c r="K51" i="121"/>
  <c r="J51" i="121" s="1"/>
  <c r="K49" i="121"/>
  <c r="L49" i="121" s="1"/>
  <c r="K53" i="121"/>
  <c r="J53" i="121" s="1"/>
  <c r="I50" i="121"/>
  <c r="K52" i="121"/>
  <c r="J52" i="121" s="1"/>
  <c r="J48" i="121"/>
  <c r="I48" i="121"/>
  <c r="I70" i="121"/>
  <c r="K70" i="121"/>
  <c r="I69" i="121"/>
  <c r="K69" i="121"/>
  <c r="K74" i="121"/>
  <c r="I74" i="121"/>
  <c r="K66" i="121"/>
  <c r="I66" i="121"/>
  <c r="I65" i="121"/>
  <c r="K65" i="121"/>
  <c r="K76" i="121"/>
  <c r="K35" i="121" s="1"/>
  <c r="I76" i="121"/>
  <c r="I35" i="121" s="1"/>
  <c r="K72" i="121"/>
  <c r="I72" i="121"/>
  <c r="K71" i="121"/>
  <c r="I71" i="121"/>
  <c r="K68" i="121"/>
  <c r="I68" i="121"/>
  <c r="K75" i="121"/>
  <c r="I75" i="121"/>
  <c r="I67" i="121"/>
  <c r="K67" i="121"/>
  <c r="L73" i="121"/>
  <c r="J73" i="121"/>
  <c r="L58" i="121" l="1"/>
  <c r="L34" i="121" s="1"/>
  <c r="K34" i="121"/>
  <c r="L54" i="121"/>
  <c r="L51" i="121"/>
  <c r="J49" i="121"/>
  <c r="J58" i="121"/>
  <c r="J34" i="121" s="1"/>
  <c r="L57" i="121"/>
  <c r="L53" i="121"/>
  <c r="L52" i="121"/>
  <c r="L71" i="121"/>
  <c r="J71" i="121"/>
  <c r="J72" i="121"/>
  <c r="L72" i="121"/>
  <c r="L76" i="121"/>
  <c r="L35" i="121" s="1"/>
  <c r="J76" i="121"/>
  <c r="J35" i="121" s="1"/>
  <c r="L65" i="121"/>
  <c r="J65" i="121"/>
  <c r="J66" i="121"/>
  <c r="L66" i="121"/>
  <c r="L67" i="121"/>
  <c r="J67" i="121"/>
  <c r="J74" i="121"/>
  <c r="L74" i="121"/>
  <c r="L69" i="121"/>
  <c r="J69" i="121"/>
  <c r="L75" i="121"/>
  <c r="J75" i="121"/>
  <c r="J70" i="121"/>
  <c r="L70" i="121"/>
  <c r="L68" i="121"/>
  <c r="J68" i="121"/>
  <c r="V146" i="104"/>
  <c r="U146" i="104"/>
  <c r="T146" i="104"/>
  <c r="S146" i="104"/>
  <c r="R146" i="104"/>
  <c r="Q146" i="104"/>
  <c r="P146" i="104"/>
  <c r="V145" i="104"/>
  <c r="U145" i="104"/>
  <c r="T145" i="104"/>
  <c r="S145" i="104"/>
  <c r="R145" i="104"/>
  <c r="Q145" i="104"/>
  <c r="P145" i="104"/>
  <c r="V144" i="104"/>
  <c r="U144" i="104"/>
  <c r="T144" i="104"/>
  <c r="S144" i="104"/>
  <c r="R144" i="104"/>
  <c r="Q144" i="104"/>
  <c r="P144" i="104"/>
  <c r="V143" i="104"/>
  <c r="U143" i="104"/>
  <c r="T143" i="104"/>
  <c r="S143" i="104"/>
  <c r="R143" i="104"/>
  <c r="Q143" i="104"/>
  <c r="P143" i="104"/>
  <c r="V142" i="104"/>
  <c r="U142" i="104"/>
  <c r="T142" i="104"/>
  <c r="S142" i="104"/>
  <c r="R142" i="104"/>
  <c r="Q142" i="104"/>
  <c r="P142" i="104"/>
  <c r="V141" i="104"/>
  <c r="U141" i="104"/>
  <c r="T141" i="104"/>
  <c r="S141" i="104"/>
  <c r="R141" i="104"/>
  <c r="Q141" i="104"/>
  <c r="P141" i="104"/>
  <c r="V133" i="104"/>
  <c r="U133" i="104"/>
  <c r="T133" i="104"/>
  <c r="S133" i="104"/>
  <c r="R133" i="104"/>
  <c r="Q133" i="104"/>
  <c r="P133" i="104"/>
  <c r="V132" i="104"/>
  <c r="U132" i="104"/>
  <c r="T132" i="104"/>
  <c r="S132" i="104"/>
  <c r="R132" i="104"/>
  <c r="Q132" i="104"/>
  <c r="P132" i="104"/>
  <c r="V131" i="104"/>
  <c r="U131" i="104"/>
  <c r="T131" i="104"/>
  <c r="S131" i="104"/>
  <c r="R131" i="104"/>
  <c r="Q131" i="104"/>
  <c r="P131" i="104"/>
  <c r="V130" i="104"/>
  <c r="U130" i="104"/>
  <c r="T130" i="104"/>
  <c r="S130" i="104"/>
  <c r="R130" i="104"/>
  <c r="Q130" i="104"/>
  <c r="P130" i="104"/>
  <c r="V129" i="104"/>
  <c r="U129" i="104"/>
  <c r="T129" i="104"/>
  <c r="S129" i="104"/>
  <c r="R129" i="104"/>
  <c r="Q129" i="104"/>
  <c r="P129" i="104"/>
  <c r="V128" i="104"/>
  <c r="U128" i="104"/>
  <c r="T128" i="104"/>
  <c r="S128" i="104"/>
  <c r="R128" i="104"/>
  <c r="Q128" i="104"/>
  <c r="P128" i="104"/>
  <c r="V121" i="104"/>
  <c r="U121" i="104"/>
  <c r="T121" i="104"/>
  <c r="S121" i="104"/>
  <c r="R121" i="104"/>
  <c r="Q121" i="104"/>
  <c r="P121" i="104"/>
  <c r="V120" i="104"/>
  <c r="U120" i="104"/>
  <c r="T120" i="104"/>
  <c r="S120" i="104"/>
  <c r="R120" i="104"/>
  <c r="Q120" i="104"/>
  <c r="P120" i="104"/>
  <c r="V119" i="104"/>
  <c r="U119" i="104"/>
  <c r="T119" i="104"/>
  <c r="S119" i="104"/>
  <c r="R119" i="104"/>
  <c r="Q119" i="104"/>
  <c r="P119" i="104"/>
  <c r="V118" i="104"/>
  <c r="U118" i="104"/>
  <c r="T118" i="104"/>
  <c r="S118" i="104"/>
  <c r="R118" i="104"/>
  <c r="Q118" i="104"/>
  <c r="P118" i="104"/>
  <c r="V117" i="104"/>
  <c r="U117" i="104"/>
  <c r="T117" i="104"/>
  <c r="S117" i="104"/>
  <c r="R117" i="104"/>
  <c r="Q117" i="104"/>
  <c r="P117" i="104"/>
  <c r="V116" i="104"/>
  <c r="U116" i="104"/>
  <c r="T116" i="104"/>
  <c r="S116" i="104"/>
  <c r="R116" i="104"/>
  <c r="Q116" i="104"/>
  <c r="P116" i="104"/>
  <c r="V111" i="104"/>
  <c r="U111" i="104"/>
  <c r="T111" i="104"/>
  <c r="S111" i="104"/>
  <c r="R111" i="104"/>
  <c r="Q111" i="104"/>
  <c r="P111" i="104"/>
  <c r="V110" i="104"/>
  <c r="U110" i="104"/>
  <c r="T110" i="104"/>
  <c r="S110" i="104"/>
  <c r="R110" i="104"/>
  <c r="Q110" i="104"/>
  <c r="P110" i="104"/>
  <c r="V109" i="104"/>
  <c r="U109" i="104"/>
  <c r="T109" i="104"/>
  <c r="S109" i="104"/>
  <c r="R109" i="104"/>
  <c r="Q109" i="104"/>
  <c r="P109" i="104"/>
  <c r="V108" i="104"/>
  <c r="U108" i="104"/>
  <c r="T108" i="104"/>
  <c r="S108" i="104"/>
  <c r="R108" i="104"/>
  <c r="Q108" i="104"/>
  <c r="P108" i="104"/>
  <c r="V107" i="104"/>
  <c r="U107" i="104"/>
  <c r="T107" i="104"/>
  <c r="S107" i="104"/>
  <c r="R107" i="104"/>
  <c r="Q107" i="104"/>
  <c r="P107" i="104"/>
  <c r="V106" i="104"/>
  <c r="U106" i="104"/>
  <c r="T106" i="104"/>
  <c r="S106" i="104"/>
  <c r="R106" i="104"/>
  <c r="Q106" i="104"/>
  <c r="P106" i="104"/>
  <c r="V98" i="104"/>
  <c r="U98" i="104"/>
  <c r="T98" i="104"/>
  <c r="S98" i="104"/>
  <c r="R98" i="104"/>
  <c r="Q98" i="104"/>
  <c r="P98" i="104"/>
  <c r="V97" i="104"/>
  <c r="U97" i="104"/>
  <c r="T97" i="104"/>
  <c r="S97" i="104"/>
  <c r="R97" i="104"/>
  <c r="Q97" i="104"/>
  <c r="P97" i="104"/>
  <c r="V96" i="104"/>
  <c r="U96" i="104"/>
  <c r="T96" i="104"/>
  <c r="S96" i="104"/>
  <c r="R96" i="104"/>
  <c r="Q96" i="104"/>
  <c r="P96" i="104"/>
  <c r="V95" i="104"/>
  <c r="U95" i="104"/>
  <c r="T95" i="104"/>
  <c r="S95" i="104"/>
  <c r="R95" i="104"/>
  <c r="Q95" i="104"/>
  <c r="P95" i="104"/>
  <c r="V94" i="104"/>
  <c r="U94" i="104"/>
  <c r="T94" i="104"/>
  <c r="S94" i="104"/>
  <c r="R94" i="104"/>
  <c r="Q94" i="104"/>
  <c r="P94" i="104"/>
  <c r="V93" i="104"/>
  <c r="U93" i="104"/>
  <c r="T93" i="104"/>
  <c r="S93" i="104"/>
  <c r="R93" i="104"/>
  <c r="Q93" i="104"/>
  <c r="P93" i="104"/>
  <c r="P81" i="104"/>
  <c r="V86" i="104"/>
  <c r="U86" i="104"/>
  <c r="T86" i="104"/>
  <c r="S86" i="104"/>
  <c r="R86" i="104"/>
  <c r="Q86" i="104"/>
  <c r="P86" i="104"/>
  <c r="V85" i="104"/>
  <c r="U85" i="104"/>
  <c r="T85" i="104"/>
  <c r="S85" i="104"/>
  <c r="R85" i="104"/>
  <c r="Q85" i="104"/>
  <c r="P85" i="104"/>
  <c r="V84" i="104"/>
  <c r="U84" i="104"/>
  <c r="T84" i="104"/>
  <c r="S84" i="104"/>
  <c r="R84" i="104"/>
  <c r="Q84" i="104"/>
  <c r="P84" i="104"/>
  <c r="V83" i="104"/>
  <c r="U83" i="104"/>
  <c r="T83" i="104"/>
  <c r="S83" i="104"/>
  <c r="R83" i="104"/>
  <c r="Q83" i="104"/>
  <c r="P83" i="104"/>
  <c r="V82" i="104"/>
  <c r="U82" i="104"/>
  <c r="T82" i="104"/>
  <c r="S82" i="104"/>
  <c r="R82" i="104"/>
  <c r="Q82" i="104"/>
  <c r="P82" i="104"/>
  <c r="V81" i="104"/>
  <c r="U81" i="104"/>
  <c r="T81" i="104"/>
  <c r="S81" i="104"/>
  <c r="R81" i="104"/>
  <c r="Q81" i="104"/>
  <c r="P71" i="104"/>
  <c r="V76" i="104"/>
  <c r="U76" i="104"/>
  <c r="T76" i="104"/>
  <c r="S76" i="104"/>
  <c r="R76" i="104"/>
  <c r="Q76" i="104"/>
  <c r="P76" i="104"/>
  <c r="V75" i="104"/>
  <c r="U75" i="104"/>
  <c r="T75" i="104"/>
  <c r="S75" i="104"/>
  <c r="R75" i="104"/>
  <c r="Q75" i="104"/>
  <c r="P75" i="104"/>
  <c r="V74" i="104"/>
  <c r="U74" i="104"/>
  <c r="T74" i="104"/>
  <c r="S74" i="104"/>
  <c r="R74" i="104"/>
  <c r="Q74" i="104"/>
  <c r="P74" i="104"/>
  <c r="V73" i="104"/>
  <c r="U73" i="104"/>
  <c r="T73" i="104"/>
  <c r="S73" i="104"/>
  <c r="R73" i="104"/>
  <c r="Q73" i="104"/>
  <c r="P73" i="104"/>
  <c r="V72" i="104"/>
  <c r="U72" i="104"/>
  <c r="T72" i="104"/>
  <c r="S72" i="104"/>
  <c r="R72" i="104"/>
  <c r="Q72" i="104"/>
  <c r="P72" i="104"/>
  <c r="V71" i="104"/>
  <c r="U71" i="104"/>
  <c r="T71" i="104"/>
  <c r="S71" i="104"/>
  <c r="R71" i="104"/>
  <c r="Q71" i="104"/>
  <c r="P58" i="104"/>
  <c r="V63" i="104"/>
  <c r="U63" i="104"/>
  <c r="T63" i="104"/>
  <c r="S63" i="104"/>
  <c r="R63" i="104"/>
  <c r="Q63" i="104"/>
  <c r="P63" i="104"/>
  <c r="V62" i="104"/>
  <c r="U62" i="104"/>
  <c r="T62" i="104"/>
  <c r="S62" i="104"/>
  <c r="R62" i="104"/>
  <c r="Q62" i="104"/>
  <c r="P62" i="104"/>
  <c r="V61" i="104"/>
  <c r="U61" i="104"/>
  <c r="T61" i="104"/>
  <c r="S61" i="104"/>
  <c r="R61" i="104"/>
  <c r="Q61" i="104"/>
  <c r="P61" i="104"/>
  <c r="V60" i="104"/>
  <c r="U60" i="104"/>
  <c r="T60" i="104"/>
  <c r="S60" i="104"/>
  <c r="R60" i="104"/>
  <c r="Q60" i="104"/>
  <c r="P60" i="104"/>
  <c r="V59" i="104"/>
  <c r="U59" i="104"/>
  <c r="T59" i="104"/>
  <c r="S59" i="104"/>
  <c r="R59" i="104"/>
  <c r="Q59" i="104"/>
  <c r="P59" i="104"/>
  <c r="V58" i="104"/>
  <c r="U58" i="104"/>
  <c r="T58" i="104"/>
  <c r="S58" i="104"/>
  <c r="R58" i="104"/>
  <c r="Q58" i="104"/>
  <c r="V51" i="104"/>
  <c r="U51" i="104"/>
  <c r="T51" i="104"/>
  <c r="S51" i="104"/>
  <c r="R51" i="104"/>
  <c r="Q51" i="104"/>
  <c r="P51" i="104"/>
  <c r="V50" i="104"/>
  <c r="U50" i="104"/>
  <c r="T50" i="104"/>
  <c r="S50" i="104"/>
  <c r="R50" i="104"/>
  <c r="Q50" i="104"/>
  <c r="P50" i="104"/>
  <c r="V49" i="104"/>
  <c r="U49" i="104"/>
  <c r="T49" i="104"/>
  <c r="S49" i="104"/>
  <c r="R49" i="104"/>
  <c r="Q49" i="104"/>
  <c r="P49" i="104"/>
  <c r="V48" i="104"/>
  <c r="U48" i="104"/>
  <c r="T48" i="104"/>
  <c r="S48" i="104"/>
  <c r="R48" i="104"/>
  <c r="Q48" i="104"/>
  <c r="P48" i="104"/>
  <c r="V47" i="104"/>
  <c r="U47" i="104"/>
  <c r="T47" i="104"/>
  <c r="S47" i="104"/>
  <c r="R47" i="104"/>
  <c r="Q47" i="104"/>
  <c r="P47" i="104"/>
  <c r="V46" i="104"/>
  <c r="U46" i="104"/>
  <c r="T46" i="104"/>
  <c r="S46" i="104"/>
  <c r="R46" i="104"/>
  <c r="Q46" i="104"/>
  <c r="P46" i="104"/>
  <c r="V41" i="104"/>
  <c r="U41" i="104"/>
  <c r="T41" i="104"/>
  <c r="S41" i="104"/>
  <c r="R41" i="104"/>
  <c r="Q41" i="104"/>
  <c r="P41" i="104"/>
  <c r="V40" i="104"/>
  <c r="U40" i="104"/>
  <c r="T40" i="104"/>
  <c r="S40" i="104"/>
  <c r="R40" i="104"/>
  <c r="Q40" i="104"/>
  <c r="P40" i="104"/>
  <c r="V39" i="104"/>
  <c r="U39" i="104"/>
  <c r="T39" i="104"/>
  <c r="S39" i="104"/>
  <c r="R39" i="104"/>
  <c r="Q39" i="104"/>
  <c r="P39" i="104"/>
  <c r="V38" i="104"/>
  <c r="U38" i="104"/>
  <c r="T38" i="104"/>
  <c r="S38" i="104"/>
  <c r="R38" i="104"/>
  <c r="Q38" i="104"/>
  <c r="P38" i="104"/>
  <c r="V37" i="104"/>
  <c r="U37" i="104"/>
  <c r="T37" i="104"/>
  <c r="S37" i="104"/>
  <c r="R37" i="104"/>
  <c r="Q37" i="104"/>
  <c r="P37" i="104"/>
  <c r="V36" i="104"/>
  <c r="U36" i="104"/>
  <c r="T36" i="104"/>
  <c r="S36" i="104"/>
  <c r="R36" i="104"/>
  <c r="Q36" i="104"/>
  <c r="P36" i="104"/>
  <c r="V28" i="104"/>
  <c r="U28" i="104"/>
  <c r="T28" i="104"/>
  <c r="S28" i="104"/>
  <c r="R28" i="104"/>
  <c r="Q28" i="104"/>
  <c r="P28" i="104"/>
  <c r="V27" i="104"/>
  <c r="U27" i="104"/>
  <c r="T27" i="104"/>
  <c r="S27" i="104"/>
  <c r="R27" i="104"/>
  <c r="Q27" i="104"/>
  <c r="P27" i="104"/>
  <c r="V26" i="104"/>
  <c r="U26" i="104"/>
  <c r="T26" i="104"/>
  <c r="S26" i="104"/>
  <c r="R26" i="104"/>
  <c r="Q26" i="104"/>
  <c r="P26" i="104"/>
  <c r="V25" i="104"/>
  <c r="U25" i="104"/>
  <c r="T25" i="104"/>
  <c r="S25" i="104"/>
  <c r="R25" i="104"/>
  <c r="Q25" i="104"/>
  <c r="P25" i="104"/>
  <c r="V24" i="104"/>
  <c r="U24" i="104"/>
  <c r="T24" i="104"/>
  <c r="S24" i="104"/>
  <c r="R24" i="104"/>
  <c r="Q24" i="104"/>
  <c r="P24" i="104"/>
  <c r="V23" i="104"/>
  <c r="U23" i="104"/>
  <c r="T23" i="104"/>
  <c r="S23" i="104"/>
  <c r="R23" i="104"/>
  <c r="Q23" i="104"/>
  <c r="P23" i="104"/>
  <c r="N36" i="121" l="1"/>
  <c r="M36" i="121"/>
  <c r="F36" i="121"/>
  <c r="V16" i="104"/>
  <c r="U16" i="104"/>
  <c r="T16" i="104"/>
  <c r="S16" i="104"/>
  <c r="R16" i="104"/>
  <c r="Q16" i="104"/>
  <c r="P16" i="104"/>
  <c r="V15" i="104"/>
  <c r="U15" i="104"/>
  <c r="T15" i="104"/>
  <c r="S15" i="104"/>
  <c r="R15" i="104"/>
  <c r="Q15" i="104"/>
  <c r="P15" i="104"/>
  <c r="V14" i="104"/>
  <c r="U14" i="104"/>
  <c r="T14" i="104"/>
  <c r="S14" i="104"/>
  <c r="R14" i="104"/>
  <c r="Q14" i="104"/>
  <c r="P14" i="104"/>
  <c r="V13" i="104"/>
  <c r="U13" i="104"/>
  <c r="T13" i="104"/>
  <c r="S13" i="104"/>
  <c r="R13" i="104"/>
  <c r="Q13" i="104"/>
  <c r="P13" i="104"/>
  <c r="V12" i="104"/>
  <c r="U12" i="104"/>
  <c r="T12" i="104"/>
  <c r="S12" i="104"/>
  <c r="R12" i="104"/>
  <c r="Q12" i="104"/>
  <c r="P12" i="104"/>
  <c r="V11" i="104"/>
  <c r="U11" i="104"/>
  <c r="T11" i="104"/>
  <c r="S11" i="104"/>
  <c r="R11" i="104"/>
  <c r="Q11" i="104"/>
  <c r="P11" i="104"/>
  <c r="AA24" i="87" l="1"/>
  <c r="Y24" i="87"/>
  <c r="W24" i="87"/>
  <c r="U24" i="87"/>
  <c r="S24" i="87"/>
  <c r="Q24" i="87"/>
  <c r="O24" i="87"/>
  <c r="M24" i="87"/>
  <c r="K24" i="87"/>
  <c r="I24" i="87"/>
  <c r="G24" i="87"/>
  <c r="E24" i="87"/>
  <c r="H36" i="121" l="1"/>
  <c r="G36" i="121"/>
  <c r="I36" i="121" l="1"/>
  <c r="K36" i="121"/>
  <c r="L36" i="121" l="1"/>
  <c r="J36" i="121"/>
</calcChain>
</file>

<file path=xl/sharedStrings.xml><?xml version="1.0" encoding="utf-8"?>
<sst xmlns="http://schemas.openxmlformats.org/spreadsheetml/2006/main" count="9352" uniqueCount="2180">
  <si>
    <t>Version</t>
  </si>
  <si>
    <t>Date</t>
  </si>
  <si>
    <t>Release description</t>
  </si>
  <si>
    <t>Update description</t>
  </si>
  <si>
    <t>Draft release</t>
  </si>
  <si>
    <t>Azure Business Continuity Guide</t>
  </si>
  <si>
    <t>Phase 1: Readiness</t>
  </si>
  <si>
    <t>Phase 2: Application Continuity</t>
  </si>
  <si>
    <t>Phase 3: Business Continuity</t>
  </si>
  <si>
    <t>Application [nn] Continuity Plan</t>
  </si>
  <si>
    <t>`</t>
  </si>
  <si>
    <t>Application 01 Continuity Plan</t>
  </si>
  <si>
    <r>
      <t xml:space="preserve">Step 1: </t>
    </r>
    <r>
      <rPr>
        <b/>
        <sz val="11"/>
        <color rgb="FFF25022"/>
        <rFont val="Calibri"/>
        <family val="2"/>
        <scheme val="minor"/>
      </rPr>
      <t>PREPARE</t>
    </r>
    <r>
      <rPr>
        <b/>
        <sz val="11"/>
        <color theme="1"/>
        <rFont val="Calibri"/>
        <family val="2"/>
        <scheme val="minor"/>
      </rPr>
      <t xml:space="preserve"> for Business Continuity and Disaster Recovery </t>
    </r>
  </si>
  <si>
    <r>
      <t xml:space="preserve">Step 2: </t>
    </r>
    <r>
      <rPr>
        <b/>
        <sz val="11"/>
        <color rgb="FFF25022"/>
        <rFont val="Calibri"/>
        <family val="2"/>
        <scheme val="minor"/>
      </rPr>
      <t>ASSESS</t>
    </r>
    <r>
      <rPr>
        <b/>
        <sz val="11"/>
        <color theme="1"/>
        <rFont val="Calibri"/>
        <family val="2"/>
        <scheme val="minor"/>
      </rPr>
      <t xml:space="preserve"> Application Continuity and Disaster Recovery</t>
    </r>
  </si>
  <si>
    <t>ASSESS</t>
  </si>
  <si>
    <r>
      <t xml:space="preserve">Requirements and Architecture Decision Record </t>
    </r>
    <r>
      <rPr>
        <vertAlign val="superscript"/>
        <sz val="11"/>
        <color theme="1"/>
        <rFont val="Calibri"/>
        <family val="2"/>
        <scheme val="minor"/>
      </rPr>
      <t>1</t>
    </r>
  </si>
  <si>
    <t>example</t>
  </si>
  <si>
    <t>Service Map</t>
  </si>
  <si>
    <r>
      <t xml:space="preserve">Business Impact Analysis </t>
    </r>
    <r>
      <rPr>
        <vertAlign val="superscript"/>
        <sz val="11"/>
        <color theme="1"/>
        <rFont val="Calibri"/>
        <family val="2"/>
        <scheme val="minor"/>
      </rPr>
      <t>1,4</t>
    </r>
  </si>
  <si>
    <r>
      <t xml:space="preserve">Fault Tree Analysis (-BCDR) </t>
    </r>
    <r>
      <rPr>
        <vertAlign val="superscript"/>
        <sz val="11"/>
        <color theme="1"/>
        <rFont val="Calibri"/>
        <family val="2"/>
        <scheme val="minor"/>
      </rPr>
      <t>1</t>
    </r>
  </si>
  <si>
    <t>Architecture | BCDR Gap Assessment</t>
  </si>
  <si>
    <r>
      <t xml:space="preserve">(Availability, Recovery,  RTO, RPO, MTD, Compliance, TCO, etc) </t>
    </r>
    <r>
      <rPr>
        <vertAlign val="superscript"/>
        <sz val="11"/>
        <color theme="1"/>
        <rFont val="Calibri"/>
        <family val="2"/>
        <scheme val="minor"/>
      </rPr>
      <t>1</t>
    </r>
  </si>
  <si>
    <t>Review Important Concepts</t>
  </si>
  <si>
    <r>
      <t xml:space="preserve">Metric Analysis (Application and Business Functions) </t>
    </r>
    <r>
      <rPr>
        <vertAlign val="superscript"/>
        <sz val="11"/>
        <color theme="1"/>
        <rFont val="Calibri"/>
        <family val="2"/>
        <scheme val="minor"/>
      </rPr>
      <t>1</t>
    </r>
  </si>
  <si>
    <r>
      <t xml:space="preserve">Step 5: </t>
    </r>
    <r>
      <rPr>
        <b/>
        <sz val="11"/>
        <color rgb="FFF25022"/>
        <rFont val="Calibri"/>
        <family val="2"/>
        <scheme val="minor"/>
      </rPr>
      <t>PLAN</t>
    </r>
    <r>
      <rPr>
        <b/>
        <sz val="11"/>
        <color theme="1"/>
        <rFont val="Calibri"/>
        <family val="2"/>
        <scheme val="minor"/>
      </rPr>
      <t xml:space="preserve"> Business Continuity</t>
    </r>
  </si>
  <si>
    <t>Shared Responsibility Model</t>
  </si>
  <si>
    <t>Azure Geographies</t>
  </si>
  <si>
    <t>Azure Regions</t>
  </si>
  <si>
    <t>Paired Regions</t>
  </si>
  <si>
    <r>
      <t xml:space="preserve">Step 3: </t>
    </r>
    <r>
      <rPr>
        <b/>
        <sz val="11"/>
        <color rgb="FFF25022"/>
        <rFont val="Calibri"/>
        <family val="2"/>
        <scheme val="minor"/>
      </rPr>
      <t>IMPLEMENT</t>
    </r>
    <r>
      <rPr>
        <b/>
        <sz val="11"/>
        <color theme="1"/>
        <rFont val="Calibri"/>
        <family val="2"/>
        <scheme val="minor"/>
      </rPr>
      <t xml:space="preserve"> Application Continuity and Disaster Recovery</t>
    </r>
  </si>
  <si>
    <t>Availability Zones</t>
  </si>
  <si>
    <t>Availability Sets</t>
  </si>
  <si>
    <t>IMPLEMENT</t>
  </si>
  <si>
    <t>Response Plan by Event Scope</t>
  </si>
  <si>
    <r>
      <t xml:space="preserve">Azure Load Balancing </t>
    </r>
    <r>
      <rPr>
        <u/>
        <vertAlign val="superscript"/>
        <sz val="11"/>
        <color theme="10"/>
        <rFont val="Calibri"/>
        <family val="2"/>
        <scheme val="minor"/>
      </rPr>
      <t>6</t>
    </r>
  </si>
  <si>
    <t>Architecture | BCDR Design</t>
  </si>
  <si>
    <t>BCP</t>
  </si>
  <si>
    <r>
      <t xml:space="preserve">Business Continuity Plan </t>
    </r>
    <r>
      <rPr>
        <vertAlign val="superscript"/>
        <sz val="11"/>
        <color theme="1"/>
        <rFont val="Calibri"/>
        <family val="2"/>
        <scheme val="minor"/>
      </rPr>
      <t>2,3</t>
    </r>
  </si>
  <si>
    <t>considerations</t>
  </si>
  <si>
    <t>Cloud Design Patterns for Reliability</t>
  </si>
  <si>
    <t>Risk</t>
  </si>
  <si>
    <t>Azure Business Continuity Center (private preview)</t>
  </si>
  <si>
    <r>
      <t xml:space="preserve">Cost Comparison (-BCDR vs. +BCDR, Application BCDR vs. Business Function BCDR) </t>
    </r>
    <r>
      <rPr>
        <vertAlign val="superscript"/>
        <sz val="11"/>
        <rFont val="Calibri"/>
        <family val="2"/>
        <scheme val="minor"/>
      </rPr>
      <t>1</t>
    </r>
  </si>
  <si>
    <r>
      <t xml:space="preserve">Minimum Business Continuity Objective </t>
    </r>
    <r>
      <rPr>
        <vertAlign val="superscript"/>
        <sz val="11"/>
        <color theme="1"/>
        <rFont val="Calibri"/>
        <family val="2"/>
        <scheme val="minor"/>
      </rPr>
      <t>3</t>
    </r>
  </si>
  <si>
    <t>Azure Backup</t>
  </si>
  <si>
    <r>
      <t xml:space="preserve">Metric Comparison (+BCDR) </t>
    </r>
    <r>
      <rPr>
        <vertAlign val="superscript"/>
        <sz val="11"/>
        <rFont val="Calibri"/>
        <family val="2"/>
        <scheme val="minor"/>
      </rPr>
      <t>1</t>
    </r>
  </si>
  <si>
    <t>Business Critical Function Calendar</t>
  </si>
  <si>
    <t>Azure Site Recovery</t>
  </si>
  <si>
    <r>
      <t xml:space="preserve">Fault Tree Analysis (+BCDR) </t>
    </r>
    <r>
      <rPr>
        <vertAlign val="superscript"/>
        <sz val="11"/>
        <color theme="1"/>
        <rFont val="Calibri"/>
        <family val="2"/>
        <scheme val="minor"/>
      </rPr>
      <t>1</t>
    </r>
  </si>
  <si>
    <t>Business Impact Analysis | Portfolio Summary</t>
  </si>
  <si>
    <r>
      <t xml:space="preserve">Built-in Features (e.g., Replication, Backup/Restore, Export/Import, Soft Delete) </t>
    </r>
    <r>
      <rPr>
        <vertAlign val="superscript"/>
        <sz val="11"/>
        <color theme="1"/>
        <rFont val="Calibri"/>
        <family val="2"/>
        <scheme val="minor"/>
      </rPr>
      <t>10</t>
    </r>
  </si>
  <si>
    <r>
      <t xml:space="preserve">Contingency Plan </t>
    </r>
    <r>
      <rPr>
        <vertAlign val="superscript"/>
        <sz val="11"/>
        <color theme="1"/>
        <rFont val="Calibri"/>
        <family val="2"/>
        <scheme val="minor"/>
      </rPr>
      <t>1,4</t>
    </r>
  </si>
  <si>
    <t>Business Continuity and Disaster Recovery | Dashboard</t>
  </si>
  <si>
    <t>Microsoft Online Services - Regulations and Certifications</t>
  </si>
  <si>
    <t>Role Assignment</t>
  </si>
  <si>
    <t>Maintain Business Continuity Plan</t>
  </si>
  <si>
    <t>Service Level Agreements (SLA) for Online Services</t>
  </si>
  <si>
    <t>Microsoft Defender for Cloud: Regulatory Compliance</t>
  </si>
  <si>
    <r>
      <t xml:space="preserve">Azure Policy </t>
    </r>
    <r>
      <rPr>
        <u/>
        <vertAlign val="superscript"/>
        <sz val="11"/>
        <color theme="10"/>
        <rFont val="Calibri"/>
        <family val="2"/>
        <scheme val="minor"/>
      </rPr>
      <t>11</t>
    </r>
  </si>
  <si>
    <r>
      <t xml:space="preserve">Reliability by Service </t>
    </r>
    <r>
      <rPr>
        <vertAlign val="superscript"/>
        <sz val="11"/>
        <color theme="1"/>
        <rFont val="Calibri"/>
        <family val="2"/>
      </rPr>
      <t>7</t>
    </r>
  </si>
  <si>
    <r>
      <t xml:space="preserve">Reliability Trade-Offs </t>
    </r>
    <r>
      <rPr>
        <vertAlign val="superscript"/>
        <sz val="11"/>
        <color theme="1"/>
        <rFont val="Calibri"/>
        <family val="2"/>
      </rPr>
      <t>8</t>
    </r>
  </si>
  <si>
    <r>
      <t xml:space="preserve">Microsoft Programs and Training </t>
    </r>
    <r>
      <rPr>
        <vertAlign val="superscript"/>
        <sz val="11"/>
        <color theme="1"/>
        <rFont val="Calibri"/>
        <family val="2"/>
      </rPr>
      <t>9</t>
    </r>
  </si>
  <si>
    <r>
      <t xml:space="preserve">Step 4: </t>
    </r>
    <r>
      <rPr>
        <b/>
        <sz val="11"/>
        <color rgb="FFF25022"/>
        <rFont val="Calibri"/>
        <family val="2"/>
        <scheme val="minor"/>
      </rPr>
      <t>TEST</t>
    </r>
    <r>
      <rPr>
        <b/>
        <sz val="11"/>
        <color theme="1"/>
        <rFont val="Calibri"/>
        <family val="2"/>
        <scheme val="minor"/>
      </rPr>
      <t xml:space="preserve"> Application Continuity and Disaster Recovery</t>
    </r>
  </si>
  <si>
    <t>Define Templates</t>
  </si>
  <si>
    <r>
      <t xml:space="preserve">TEST </t>
    </r>
    <r>
      <rPr>
        <vertAlign val="superscript"/>
        <sz val="11"/>
        <color theme="0"/>
        <rFont val="Calibri"/>
        <family val="2"/>
        <scheme val="minor"/>
      </rPr>
      <t>3</t>
    </r>
  </si>
  <si>
    <t>Test Summary</t>
  </si>
  <si>
    <t>SUPPORTING TEMPLATES</t>
  </si>
  <si>
    <r>
      <t xml:space="preserve">Criticality Model </t>
    </r>
    <r>
      <rPr>
        <vertAlign val="superscript"/>
        <sz val="11"/>
        <color theme="1"/>
        <rFont val="Calibri"/>
        <family val="2"/>
        <scheme val="minor"/>
      </rPr>
      <t>4</t>
    </r>
  </si>
  <si>
    <t>template</t>
  </si>
  <si>
    <t>BCDR Drill (Failover Plan)</t>
  </si>
  <si>
    <r>
      <t xml:space="preserve">Business Commitment Model </t>
    </r>
    <r>
      <rPr>
        <vertAlign val="superscript"/>
        <sz val="11"/>
        <color theme="1"/>
        <rFont val="Calibri"/>
        <family val="2"/>
        <scheme val="minor"/>
      </rPr>
      <t>5</t>
    </r>
  </si>
  <si>
    <t>Test Plan (UAT)</t>
  </si>
  <si>
    <t>Fault Model</t>
  </si>
  <si>
    <t>Outage Communication Plan</t>
  </si>
  <si>
    <t>RACI</t>
  </si>
  <si>
    <t>Maintain Application Continuity Plan</t>
  </si>
  <si>
    <t>Application Requirements</t>
  </si>
  <si>
    <t>Test Plans</t>
  </si>
  <si>
    <t>Notes</t>
  </si>
  <si>
    <t>Business Continuity and Disaster Recovery Framework</t>
  </si>
  <si>
    <t>Personas: Business Continuity and Disaster Recovery by Role and Task</t>
  </si>
  <si>
    <t>Glossary</t>
  </si>
  <si>
    <t>Bibliography</t>
  </si>
  <si>
    <t>Business case for Application Continuity</t>
  </si>
  <si>
    <t>Compliance initiative e.g., SOC 1, SOC 2, SOC 3 BC-1:Business Continuity Plans</t>
  </si>
  <si>
    <t>Compliance initiative e.g., SOC 1, SOC 2, SOC 3 BC-4: BCDR Testing, HIPAA 12.c. Developing and Implementing Continuity Plans Including Information Security</t>
  </si>
  <si>
    <t>Compliance initiative e.g., FedRAMP CP-2 Contingency Plan, HIPAA 12.b. Business Continuity and Risk Assessment</t>
  </si>
  <si>
    <t>Compliance initiative e.g., MCSB, BR1-4</t>
  </si>
  <si>
    <t>Azure Front Door, Traffic Manager, Application Gateway, Load Balancer (Global, Public, Internal)</t>
  </si>
  <si>
    <t>Reliability by Service</t>
  </si>
  <si>
    <t>Azure Reliability</t>
  </si>
  <si>
    <t>Cloud Adoption Framework</t>
  </si>
  <si>
    <t>Reliability Trade-Offs</t>
  </si>
  <si>
    <t>vs. Cost</t>
  </si>
  <si>
    <t>vs. Performance</t>
  </si>
  <si>
    <t>vs. Security</t>
  </si>
  <si>
    <t>Microsoft Programs and Training</t>
  </si>
  <si>
    <t>FastTrack for Azure – Technical Enablement</t>
  </si>
  <si>
    <t>FastTrack for Azure | Microsoft Learn</t>
  </si>
  <si>
    <t>Built-in Features (e.g., Replication, Backup/Restore, Export/Import, Soft Delete), examples include:</t>
  </si>
  <si>
    <t>Azure AD(Soft Delete)</t>
  </si>
  <si>
    <t>Azure App Service (Backup and Restore)</t>
  </si>
  <si>
    <t>Azure DNS (Import and Export)</t>
  </si>
  <si>
    <t>Azure Service Bus (Geo-DR)</t>
  </si>
  <si>
    <t>Azure SQL Database (Active Geo-replication)</t>
  </si>
  <si>
    <t>Azure SQL Database (Automated Backups)</t>
  </si>
  <si>
    <t>Azure SQL Database (Auto-failover Groups)</t>
  </si>
  <si>
    <t>Key Vault (Soft Delete)</t>
  </si>
  <si>
    <t>Blob (Versioning)</t>
  </si>
  <si>
    <t>Blob (Soft Delete)</t>
  </si>
  <si>
    <t>Containers (Soft Delete)</t>
  </si>
  <si>
    <t>BCDR audit, enforcement and auto-remediation with Azure Policy</t>
  </si>
  <si>
    <t>Term</t>
  </si>
  <si>
    <t>Abbreviation</t>
  </si>
  <si>
    <t>Definition</t>
  </si>
  <si>
    <t>3+0</t>
  </si>
  <si>
    <t>Refers to the three copies of data that are stored in a single region without any additional copies in other regions. This configuration is not resilient to regional failures.</t>
  </si>
  <si>
    <t>Application</t>
  </si>
  <si>
    <t>Refer to system definition. For the purposes of this guide application refers to a system that may include the delivery of one or more business outcomes.</t>
  </si>
  <si>
    <t>Availability</t>
  </si>
  <si>
    <t>The ability for an application to remain operational during failures. In Azure there are many ways to achieve availability including availability zones, availability sets, load balancers such as Azure Traffic Manager, Azure Front Door, Azure Cross-Region Load Balancer (preview), etc. Availability can be achieved locally within an Azure region or between Azure regions.</t>
  </si>
  <si>
    <t>Availability Set</t>
  </si>
  <si>
    <t>An availability set is a logical grouping of VMs to help reduce the impact of maintenance and failures by distributing VMs across different fault domains and update domains. Two or more VMs in an availability set is recommended to provide for a highly available application with a higher SLA.</t>
  </si>
  <si>
    <t>Availability Zone</t>
  </si>
  <si>
    <t>An availability zone is a physically separate zone within an Azure region that has its own power, cooling, and networking infrastructure. Applications and data can be protected by installing or replicating them between zones. Each supported Azure region has three availability zones.</t>
  </si>
  <si>
    <t>Azure Geography</t>
  </si>
  <si>
    <t>A geography in Azure is a discreet market consisting of two or more regions that preserve data residency and compliance boundaries. For example, Brazil, Canada, Chile, Mexico, United States, and Azure Government are some of the Azure geographies.</t>
  </si>
  <si>
    <t>Azure Region</t>
  </si>
  <si>
    <t>An Azure region is a collection of datacenters that are strategically deployed within a defined perimeter based on latency considerations. Examples include West US, North Europe, Southeast Asia, Australia East, etc.</t>
  </si>
  <si>
    <t>Azure services with availability zone support</t>
  </si>
  <si>
    <r>
      <rPr>
        <b/>
        <sz val="11"/>
        <rFont val="Calibri"/>
        <family val="2"/>
        <scheme val="minor"/>
      </rPr>
      <t xml:space="preserve">Zonal services: </t>
    </r>
    <r>
      <rPr>
        <sz val="11"/>
        <rFont val="Calibri"/>
        <family val="2"/>
        <scheme val="minor"/>
      </rPr>
      <t xml:space="preserve">A resource can be deployed to a specific, self-selected availability zone to achieve more stringent latency or performance requirements. Resiliency is self-architected by replicating applications and data to one or more zones within the region. Resources can be pinned to a specific zone. For example, virtual machines, managed disks, or standard IP addresses can be pinned to a specific zone, which allows for increased resiliency by having one or more instances of resources spread across zones.
</t>
    </r>
    <r>
      <rPr>
        <b/>
        <sz val="11"/>
        <rFont val="Calibri"/>
        <family val="2"/>
        <scheme val="minor"/>
      </rPr>
      <t xml:space="preserve">Zone-redundant services: </t>
    </r>
    <r>
      <rPr>
        <sz val="11"/>
        <rFont val="Calibri"/>
        <family val="2"/>
        <scheme val="minor"/>
      </rPr>
      <t xml:space="preserve">Resources are replicated or distributed across zones automatically. For example, zone-redundant services replicate the data across three zones so that a failure in one zone doesn't affect the high availability of the data. 
</t>
    </r>
    <r>
      <rPr>
        <b/>
        <sz val="11"/>
        <rFont val="Calibri"/>
        <family val="2"/>
        <scheme val="minor"/>
      </rPr>
      <t xml:space="preserve">Always-available services: </t>
    </r>
    <r>
      <rPr>
        <sz val="11"/>
        <rFont val="Calibri"/>
        <family val="2"/>
        <scheme val="minor"/>
      </rPr>
      <t>Always available across all Azure geographies and are resilient to zone-wide outages and region-wide outages. For a complete list of always-available services, also called non-regional services, in Azure, see Products available by region.</t>
    </r>
  </si>
  <si>
    <t>Backup</t>
  </si>
  <si>
    <t>Making copies of data or systems for the purposes of recovery or to meet data retention compliance requirements.</t>
  </si>
  <si>
    <t>Business Continuity and Disaster Recovery</t>
  </si>
  <si>
    <t>BCDR</t>
  </si>
  <si>
    <t>BCDR is a set of processes and techniques used to help an organization recover from a disaster and continue or resume routine business operations.</t>
  </si>
  <si>
    <t>Business Continuity Plan</t>
  </si>
  <si>
    <t>A document that outlines how a business will continue its operations in the event of an unplanned disruption to its business critical applications.</t>
  </si>
  <si>
    <t>Business Function</t>
  </si>
  <si>
    <t xml:space="preserve">A business function delivers a distinct business outcome using the entire system or a subset of a system. Examples may include the business function to 'browse and search the Contoso product catalogue' as part of the Contoso ecommerce system. </t>
  </si>
  <si>
    <t>Business Impact Analysis</t>
  </si>
  <si>
    <t>BIA</t>
  </si>
  <si>
    <t>A process to determine how downtime may impact business operations. It is used to analyse application resilience and continuity during a disaster.</t>
  </si>
  <si>
    <t>Cyber Insurance</t>
  </si>
  <si>
    <t>Cyber insurance products are designed to help businesses hedge against potentially devastating effects of cybercrimes such as malware, ransomware, distributed denial-of-service (DDoS) attacks, or any other method used to compromise a network and sensitive data.</t>
  </si>
  <si>
    <t>Data Encryption at rest</t>
  </si>
  <si>
    <t>Data encryption at rest in Azure is a security feature that protects data stored on physical media from unauthorized access. Azure offers different options for encrypting data at rest, depending on the type of service and storage you use. Examples include Transparent Data Encryption (TDE) for SQL Server, Azure SQL Database, and Azure Synapse Analytics, Always Encrypted for Azure SQL Database and Azure Synapse Analytics, Storage Service Encryption (SSE) for Azure Blob storage, Azure Files, Azure Data Lake Storage Gen2, etc, Customer-managed keys for Azure Key Vault, Azure Disk Encryption, etc.</t>
  </si>
  <si>
    <t>Data Encryption in-transit</t>
  </si>
  <si>
    <t>Encryption for data in-transit in Azure is a security feature that protects data while it’s being transferred between components, locations or programs, such as over the network, across a service bus, or during an input/output process. Azure uses encryption technologies such as TLS/HTTPS to protect data in transit for client/server communication. Examples include TLS 1.2 on Azure for secure network channels, IPsec/IKE VPN tunnels for hybrid connectivity, Azure Private Link for private access to Azure services, etc.</t>
  </si>
  <si>
    <t>Data Redundancy</t>
  </si>
  <si>
    <t>Data redundancy in Azure means storing multiple copies of your data across different locations or regions to protect it from failures or disasters. Azure offers different options for how your data is replicated depending on your availability and durability needs.</t>
  </si>
  <si>
    <t>Data Sovereignty</t>
  </si>
  <si>
    <t>Data sovereignty is the concept that data is subject to the laws and regulations of the country or region where it is stored or processed. In Azure, you can manage data sovereignty using various mechanisms such as choosing from 60+ Azure regions that provide different data residency options, using hybrid connectivity solutions such as VPN, Express Route, Data gateways and Azure Stack, and applying Azure policies to enforce compliance and governance.</t>
  </si>
  <si>
    <t>Dependency (Downstream)</t>
  </si>
  <si>
    <t>Applications that are dependent on this application or business function.</t>
  </si>
  <si>
    <t>Dependency (Upstream)</t>
  </si>
  <si>
    <t>Applications that the application or business function is dependent upon.</t>
  </si>
  <si>
    <t>Disaster Recovery</t>
  </si>
  <si>
    <t>DR</t>
  </si>
  <si>
    <t>Disaster recovery is the process of restoring application functionality in the wake of a catastrophic loss. For the purposes of this guide we will distinguish between the terms availability and recovery as separate strategies to recover from a disaster.</t>
  </si>
  <si>
    <t>Distributed Denial-of-Service</t>
  </si>
  <si>
    <t>DDoS</t>
  </si>
  <si>
    <t>Distributed denial of service (DDoS) is a type of attack where an attacker sends more requests to an application than the application is capable of handling. The resulting effect is resources being depleted, affecting the application’s availability and ability to service its customers.</t>
  </si>
  <si>
    <t>Durability</t>
  </si>
  <si>
    <t>Durability in Azure refers to how resilient your data is in the cloud. For example, Azure Storage always stores multiple copies of your data so that it’s protected from planned and unplanned events. Azure offers different types of redundancy options that support different features and levels of durability.</t>
  </si>
  <si>
    <t>Fault Domains and Update Domains</t>
  </si>
  <si>
    <t>Update domains and fault domains are concepts that help achieve high availability for VMs in Azure. Update domains define the group of VMs that can be rebooted at the same time during a planned maintenance event. Fault domains define the group of VMs that share a common power source and network switch, and can be affected by hardware failures or power outages. By default, Azure assigns three fault domains and five update domains to each availability set. You can increase the number of update domains up to 20.</t>
  </si>
  <si>
    <t>Load Balancing</t>
  </si>
  <si>
    <t>The term load balancing refers to the distribution of workloads across multiple computing resources. Load balancing aims to optimize resource use, maximize throughput, minimize response time, and avoid overloading any single resource. It can also improve availability by sharing a workload across redundant computing resources.</t>
  </si>
  <si>
    <t>Maximum Tolerable Downtime</t>
  </si>
  <si>
    <t>MTD</t>
  </si>
  <si>
    <t xml:space="preserve">The absolute maximum period that an application can be unavailable before significant impact to the business. </t>
  </si>
  <si>
    <t>Mean Time Between Failure</t>
  </si>
  <si>
    <t>MTBF</t>
  </si>
  <si>
    <t>A measure of system reliability. It is defined as the average time between failures. How long a system can reasonably expect to last between outages.</t>
  </si>
  <si>
    <t>Mean Time To Recover</t>
  </si>
  <si>
    <t>MTTR</t>
  </si>
  <si>
    <t>A measure of the average time that it takes to fix a failed system, application or component.</t>
  </si>
  <si>
    <t>Microsoft Cloud Security Benchmark v1</t>
  </si>
  <si>
    <t>MCSB v1</t>
  </si>
  <si>
    <t>Provides prescriptive best practices and recommendations to help improve the security of workloads, data, and services on Azure and your multi-cloud environment. This benchmark focuses on cloud-centric control areas with input from a set of holistic Microsoft and industry security guidance.</t>
  </si>
  <si>
    <t>Minimum Business Continuity Objective</t>
  </si>
  <si>
    <t>MBCO</t>
  </si>
  <si>
    <t xml:space="preserve">The business is recommended to determine the Minimum Business Continuity Objective. This represents the minimum number of applications and/or business functions that need to be available, or made available before the maximum tolerable downtime (MTD) is reached in order for the business to achieve its objectives during a disruption. </t>
  </si>
  <si>
    <t>Two specific Azure regions linked within a larger geographical area. This approach allows for the replication of resources, such as VM storage, across a geography that should reduce the likelihood of natural disasters, civil unrest, power outages, or physical network outages affecting both regions at once.</t>
  </si>
  <si>
    <t>Recoverability</t>
  </si>
  <si>
    <t>A manual or automated process to restore an application after a failure. Recovery can be locally within an Azure region or between Azure regions.</t>
  </si>
  <si>
    <t>Recovery Point Achieved</t>
  </si>
  <si>
    <t>RPA</t>
  </si>
  <si>
    <t>A calculation of the amount of time that an organization lost while testing the recovery from a simulated disaster.</t>
  </si>
  <si>
    <t>Recovery Point Objective</t>
  </si>
  <si>
    <t>RPO</t>
  </si>
  <si>
    <t>A measure of the maximum amount of time that an organization can afford to lose in case of a disaster. It is often used as a guideline for how often backups should be performed.</t>
  </si>
  <si>
    <t>Recovery Time Achieved</t>
  </si>
  <si>
    <t>RTA</t>
  </si>
  <si>
    <t>A calculation of the length of time that a system or application was down during recovery testing.</t>
  </si>
  <si>
    <t>Recovery Time Objective</t>
  </si>
  <si>
    <t>RTO</t>
  </si>
  <si>
    <t>A measure of the maximum length of time that a system or application can be down. It is used to determine how quickly an organization needs to restore its operations.</t>
  </si>
  <si>
    <t>Resilience</t>
  </si>
  <si>
    <t>Resilience in the context of this guide refers to the ability of the application to remain functional and operational or become functional and operational again. It may include a combination of availability and recoverability, as well as monitoring and security strategies.</t>
  </si>
  <si>
    <t>Resource Type</t>
  </si>
  <si>
    <t>An Azure resource type is a category of Azure resources that share common properties and capabilities. Examples include virtual machines, key vaults, storage accounts, etc.</t>
  </si>
  <si>
    <t>Security Information and Event Management</t>
  </si>
  <si>
    <t>SIEM</t>
  </si>
  <si>
    <t>A solution that helps organizations detect, analyze, and respond to security threats before they harm business operations.</t>
  </si>
  <si>
    <t>Service Level Agreement</t>
  </si>
  <si>
    <t>SLA</t>
  </si>
  <si>
    <t>An SLA is a contract or agreement that specifies the quality, availability, and responsibilities of a service. It also defines the metrics by which the service is measured and any remedies or penalties if the service does not meet the agreed level.</t>
  </si>
  <si>
    <t>Service Level Agreement - Composite</t>
  </si>
  <si>
    <t>SLA-C</t>
  </si>
  <si>
    <t>An Azure composite service level agreement (SLA) is a type of SLA that describes Microsoft’s commitments for uptime and connectivity for a combination of Azure services. For example, if you have an app service that runs in two regions, you can compute the Azure composite SLA by multiplying the SLA of each region. An Azure composite SLA helps you measure the overall availability and performance of your Azure architecture.</t>
  </si>
  <si>
    <t>Service Level Objectives</t>
  </si>
  <si>
    <t>SLO</t>
  </si>
  <si>
    <t>SLO is a target level of reliability for a service that is used to measure and improve its performance. SLOs are usually part of an SLA that defines the expectations and obligations between a service provider and a customer.  SLOs can be based on indicators, parameters, or metrics such as availability, reliability, response time, throughput, etc.</t>
  </si>
  <si>
    <t>System</t>
  </si>
  <si>
    <t>An application that serve one or more business functions e.g. Azure Active Directory, Azure Virtual Desktop, Contoso Intranet or Contoso ecommerce web site.</t>
  </si>
  <si>
    <t>Total Cost of Ownership</t>
  </si>
  <si>
    <t>TCO</t>
  </si>
  <si>
    <t>The sum of all direct and indirect costs incurred by an organization in the course of owning and operating a product or system.</t>
  </si>
  <si>
    <t>Application Business Continuity and Disaster Recovery</t>
  </si>
  <si>
    <t>[Application &lt;nn&gt;] Continuity Plan</t>
  </si>
  <si>
    <t>[Application 01] Continuity Plan</t>
  </si>
  <si>
    <r>
      <t xml:space="preserve">Application Requirements </t>
    </r>
    <r>
      <rPr>
        <vertAlign val="superscript"/>
        <sz val="11"/>
        <color theme="1"/>
        <rFont val="Calibri"/>
        <family val="2"/>
        <scheme val="minor"/>
      </rPr>
      <t>1</t>
    </r>
  </si>
  <si>
    <r>
      <t xml:space="preserve">Application Business Impact Analysis </t>
    </r>
    <r>
      <rPr>
        <vertAlign val="superscript"/>
        <sz val="11"/>
        <color theme="1"/>
        <rFont val="Calibri"/>
        <family val="2"/>
        <scheme val="minor"/>
      </rPr>
      <t>1</t>
    </r>
  </si>
  <si>
    <t>Architecture Resilience | Gap Assessment (existing implementations or new designs) and</t>
  </si>
  <si>
    <r>
      <t xml:space="preserve">Total Cost of Ownership </t>
    </r>
    <r>
      <rPr>
        <vertAlign val="superscript"/>
        <sz val="11"/>
        <color theme="1"/>
        <rFont val="Calibri"/>
        <family val="2"/>
        <scheme val="minor"/>
      </rPr>
      <t>1</t>
    </r>
  </si>
  <si>
    <r>
      <t xml:space="preserve">Metric Analysis (-BCDR) </t>
    </r>
    <r>
      <rPr>
        <vertAlign val="superscript"/>
        <sz val="11"/>
        <color theme="1"/>
        <rFont val="Calibri"/>
        <family val="2"/>
        <scheme val="minor"/>
      </rPr>
      <t>1</t>
    </r>
  </si>
  <si>
    <t>Event Response Plan</t>
  </si>
  <si>
    <t>Architecture | Resilience Design and</t>
  </si>
  <si>
    <r>
      <t xml:space="preserve">Cost Comparison </t>
    </r>
    <r>
      <rPr>
        <vertAlign val="superscript"/>
        <sz val="11"/>
        <color theme="1"/>
        <rFont val="Calibri"/>
        <family val="2"/>
        <scheme val="minor"/>
      </rPr>
      <t>1</t>
    </r>
  </si>
  <si>
    <r>
      <t xml:space="preserve">Metric Comparison (+BCDR) </t>
    </r>
    <r>
      <rPr>
        <vertAlign val="superscript"/>
        <sz val="11"/>
        <color theme="1"/>
        <rFont val="Calibri"/>
        <family val="2"/>
        <scheme val="minor"/>
      </rPr>
      <t>1</t>
    </r>
  </si>
  <si>
    <r>
      <t xml:space="preserve">Contingency Plan </t>
    </r>
    <r>
      <rPr>
        <vertAlign val="superscript"/>
        <sz val="11"/>
        <color theme="1"/>
        <rFont val="Calibri"/>
        <family val="2"/>
        <scheme val="minor"/>
      </rPr>
      <t>1,2</t>
    </r>
  </si>
  <si>
    <r>
      <t xml:space="preserve">TEST </t>
    </r>
    <r>
      <rPr>
        <vertAlign val="superscript"/>
        <sz val="11"/>
        <color theme="0"/>
        <rFont val="Calibri"/>
        <family val="2"/>
        <scheme val="minor"/>
      </rPr>
      <t>2</t>
    </r>
  </si>
  <si>
    <t>Application Test Summary</t>
  </si>
  <si>
    <t>Application BCDR Drill (Failover Plan)</t>
  </si>
  <si>
    <t>Application Test Plan (UAT)</t>
  </si>
  <si>
    <t>Application Outage Communication Plan</t>
  </si>
  <si>
    <t>Compliance initiative e.g., FedRAMP CP-2 Contingency Plan</t>
  </si>
  <si>
    <t>Business Continuity Planning</t>
  </si>
  <si>
    <t>Step 5: Business Continuity Plan</t>
  </si>
  <si>
    <r>
      <t xml:space="preserve">Business Continuity Plan </t>
    </r>
    <r>
      <rPr>
        <vertAlign val="superscript"/>
        <sz val="11"/>
        <color theme="1"/>
        <rFont val="Calibri"/>
        <family val="2"/>
        <scheme val="minor"/>
      </rPr>
      <t>1</t>
    </r>
  </si>
  <si>
    <r>
      <t xml:space="preserve">Multiple Application Continuity and Testing - Top [nn] </t>
    </r>
    <r>
      <rPr>
        <vertAlign val="superscript"/>
        <sz val="11"/>
        <color theme="1"/>
        <rFont val="Calibri"/>
        <family val="2"/>
        <scheme val="minor"/>
      </rPr>
      <t>2</t>
    </r>
  </si>
  <si>
    <t>Compliance initiative e.g., SOC 1, SOC 2, SOC 3 BC-4: BCDR Testing</t>
  </si>
  <si>
    <t>Business Continuity and Disaster Recovery by Role and Task</t>
  </si>
  <si>
    <r>
      <t xml:space="preserve">Application Architect: </t>
    </r>
    <r>
      <rPr>
        <b/>
        <sz val="14"/>
        <color rgb="FFF25022"/>
        <rFont val="Calibri"/>
        <family val="2"/>
        <scheme val="minor"/>
      </rPr>
      <t>Design BCDR for a new application</t>
    </r>
    <phoneticPr fontId="0"/>
  </si>
  <si>
    <t>Host workshop(s) with all stakeholders to define application BCDR requirements.</t>
  </si>
  <si>
    <t>Requirements</t>
  </si>
  <si>
    <t>Create a service map for the application capturing all available information, including all architecture components.</t>
  </si>
  <si>
    <t>Service map (example)</t>
  </si>
  <si>
    <t>Perform a Fault Tree Analysis for the application.</t>
  </si>
  <si>
    <t>FTA</t>
  </si>
  <si>
    <t>Consider the business commitment to the application criticality and predefined architecture blueprints that meet the business requirements.</t>
  </si>
  <si>
    <t>Commitment and Blueprints</t>
  </si>
  <si>
    <t>Create a response to defined failure events plan.</t>
  </si>
  <si>
    <t xml:space="preserve">Design the application architecture with requirements aligned BCDR and predicted TCO. </t>
  </si>
  <si>
    <t>Architecture Design</t>
  </si>
  <si>
    <t>Work with the business to create a contingency plan if required.</t>
  </si>
  <si>
    <t>Contingency Plan</t>
  </si>
  <si>
    <t>Work with the business to assign BCDR roles for the application.</t>
  </si>
  <si>
    <t>Develop test plans for all test types required by the application.</t>
  </si>
  <si>
    <t>Test Types</t>
  </si>
  <si>
    <t>Work with the business to create an application outage/testing communication plan.</t>
  </si>
  <si>
    <t>Communication Plan</t>
  </si>
  <si>
    <r>
      <t xml:space="preserve">Application Owner: </t>
    </r>
    <r>
      <rPr>
        <b/>
        <sz val="14"/>
        <color rgb="FFF25022"/>
        <rFont val="Calibri"/>
        <family val="2"/>
        <scheme val="minor"/>
      </rPr>
      <t>Onboard a New Application</t>
    </r>
  </si>
  <si>
    <t>Perform a Business Impact Analysis for the application.</t>
  </si>
  <si>
    <t>Confirm the assigned application criticality with the business.</t>
  </si>
  <si>
    <t>Criticality</t>
  </si>
  <si>
    <t>Signoff</t>
  </si>
  <si>
    <t>Including application criticality, requirements, architecture design, fault tree analysis, response plan, application test plans, communication plan.</t>
  </si>
  <si>
    <t>Monitor application BCDR status ongoing.</t>
  </si>
  <si>
    <t>Dashboard</t>
  </si>
  <si>
    <t>Own the application BCDR maintenance plan.</t>
  </si>
  <si>
    <t>Maintenance Plan</t>
  </si>
  <si>
    <r>
      <t xml:space="preserve">Enterprise Architect: </t>
    </r>
    <r>
      <rPr>
        <b/>
        <sz val="14"/>
        <color rgb="FFF25022"/>
        <rFont val="Calibri"/>
        <family val="2"/>
        <scheme val="minor"/>
      </rPr>
      <t>Design BCDR Standards and Practices for the Business</t>
    </r>
  </si>
  <si>
    <t>Develop standard templates and procedures to be used for BCDR</t>
  </si>
  <si>
    <t>Assign Ownership: RACI Matrix</t>
  </si>
  <si>
    <t>Criticality Assignment Model</t>
  </si>
  <si>
    <t>Business Commitment Model</t>
  </si>
  <si>
    <t>Architecture Blueprints (mapped to business commitment model)</t>
  </si>
  <si>
    <t>A predefined standard set of requirements for use when assessing application BCDR.</t>
  </si>
  <si>
    <t>A predefined list of test types to consider when designing operations and BCDR for an application.</t>
  </si>
  <si>
    <t>Develop a standard methodology for assessing, implementing and testing application BCDR.</t>
  </si>
  <si>
    <t>Methodology</t>
  </si>
  <si>
    <t>Work with the business continuity owner, application owners and application architects to develop a recovery plan for critical applications and business functions.</t>
  </si>
  <si>
    <r>
      <t xml:space="preserve">Business Continuity Owner: </t>
    </r>
    <r>
      <rPr>
        <b/>
        <sz val="14"/>
        <color rgb="FFF25022"/>
        <rFont val="Calibri"/>
        <family val="2"/>
        <scheme val="minor"/>
      </rPr>
      <t>Design Business Continuity</t>
    </r>
  </si>
  <si>
    <t>Develop a business continuity plan.</t>
  </si>
  <si>
    <t>Considerations</t>
  </si>
  <si>
    <t>Assess the organization risk against defined hazards, exposure and vulnerability.</t>
  </si>
  <si>
    <t>Develop and maintain a business critical function calendar.</t>
  </si>
  <si>
    <t>Develop and maintain a business impact analysis summary for the complete application portfolio.</t>
  </si>
  <si>
    <t>BIA Summary</t>
  </si>
  <si>
    <t>Develop and maintain a BCDR dashboard.</t>
  </si>
  <si>
    <t>BCDR Dashboard</t>
  </si>
  <si>
    <t>Own and maintain all Business Continuity documentation and artefacts.</t>
  </si>
  <si>
    <t>BCP Maintenance Plan</t>
  </si>
  <si>
    <t>RACI Template</t>
  </si>
  <si>
    <t>Application Criticality (template)</t>
  </si>
  <si>
    <t>Enterprise organizations typically have a large application portfolio, but not all applications are of equal importance. Applications can be classified based on a criticality scale. For example, business-critical applications are designed to prevent financial losses, safety-critical are focused on costs associated with loss of human life. Mission-critical applications cover both aspects that can be impacted by unavailability or underperformance. Criticality should be identified and classified to direct investment of business continuity, monitoring, support, and other resources appropriately. It should be noted that certain business functions within applications may also be more critical than others.</t>
  </si>
  <si>
    <t>Owner</t>
  </si>
  <si>
    <t>Published</t>
  </si>
  <si>
    <t>Next Revision</t>
  </si>
  <si>
    <t>Criticality Definition</t>
  </si>
  <si>
    <t>Business Impact</t>
  </si>
  <si>
    <t>Tier</t>
  </si>
  <si>
    <r>
      <t xml:space="preserve">Criticality </t>
    </r>
    <r>
      <rPr>
        <vertAlign val="superscript"/>
        <sz val="11"/>
        <rFont val="Calibri"/>
        <family val="2"/>
        <scheme val="minor"/>
      </rPr>
      <t>1</t>
    </r>
  </si>
  <si>
    <t>Business View</t>
  </si>
  <si>
    <t>Financial</t>
  </si>
  <si>
    <t>Brand Reputation</t>
  </si>
  <si>
    <t>Customer Trust</t>
  </si>
  <si>
    <t>Customer Experience</t>
  </si>
  <si>
    <t>Injury / Loss of Life</t>
  </si>
  <si>
    <t>Employee Productivity</t>
  </si>
  <si>
    <t>Tier 1</t>
  </si>
  <si>
    <t>Mission Critical</t>
  </si>
  <si>
    <t>Affects the company's mission and might noticeably affect corporate profit-and-loss statements.</t>
  </si>
  <si>
    <t>n/a</t>
  </si>
  <si>
    <t>Yes</t>
  </si>
  <si>
    <t>No</t>
  </si>
  <si>
    <t>Business Critical</t>
  </si>
  <si>
    <t>Can lead to financial losses for the organization.</t>
  </si>
  <si>
    <t>&gt; $250k</t>
  </si>
  <si>
    <t>Compliance Critical</t>
  </si>
  <si>
    <t>In heavily regulated industries, some applications might be critical as part of an effort to maintain compliance requirements.</t>
  </si>
  <si>
    <t>Safety Critical</t>
  </si>
  <si>
    <t>When lives or the physical safety of employees and customers is at risk during an outage, it can be wise to classify applications as safety-critical.</t>
  </si>
  <si>
    <t>Security Critical</t>
  </si>
  <si>
    <t>Some applications might not be mission critical, but outages could result in loss of data or unintended access to protected information.</t>
  </si>
  <si>
    <t>Unit Critical</t>
  </si>
  <si>
    <t>Affects the mission of a specific business unit and its profit-and-loss statements.</t>
  </si>
  <si>
    <t>Tier 2</t>
  </si>
  <si>
    <t>High</t>
  </si>
  <si>
    <t>Might not hinder the mission, but affects high-importance processes. Measurable losses can be quantified in the case of outages.</t>
  </si>
  <si>
    <t>&lt; $250k</t>
  </si>
  <si>
    <t>Tier 3</t>
  </si>
  <si>
    <t>Medium</t>
  </si>
  <si>
    <t>Impact on processes is likely. Losses are low or immeasurable, but brand damage or upstream losses are likely.</t>
  </si>
  <si>
    <t>&lt; $100k</t>
  </si>
  <si>
    <t>Tier 4</t>
  </si>
  <si>
    <t>Low</t>
  </si>
  <si>
    <t>Impact on business processes isn't measurable. Neither brand damage nor upstream losses are likely. Localized impact on a single team is likely.</t>
  </si>
  <si>
    <t>&lt; $50k</t>
  </si>
  <si>
    <t>Tier 5</t>
  </si>
  <si>
    <t>Unsupported</t>
  </si>
  <si>
    <t>No business owner, team, or process that's associated with this application can justify any investment in the ongoing management of the application.</t>
  </si>
  <si>
    <t>Business criticality in cloud management - Cloud Adoption Framework</t>
  </si>
  <si>
    <t>Business Commitment and Architecture Blueprints (template)</t>
  </si>
  <si>
    <t>This example outlines a business commitment to a defined set of application criticality. It also represents a set of predefined architecture blueprints that can be reused by the business to deliver applications of the same criticality.</t>
  </si>
  <si>
    <t>Application Criticality : Business Commitment</t>
  </si>
  <si>
    <t>General</t>
  </si>
  <si>
    <t>Deployment</t>
  </si>
  <si>
    <t>Monitor</t>
  </si>
  <si>
    <r>
      <t xml:space="preserve">Security Controls </t>
    </r>
    <r>
      <rPr>
        <vertAlign val="superscript"/>
        <sz val="11"/>
        <color theme="0"/>
        <rFont val="Calibri"/>
        <family val="2"/>
        <scheme val="minor"/>
      </rPr>
      <t>4</t>
    </r>
  </si>
  <si>
    <r>
      <t xml:space="preserve">Validation and Testing </t>
    </r>
    <r>
      <rPr>
        <vertAlign val="superscript"/>
        <sz val="11"/>
        <color theme="0"/>
        <rFont val="Calibri"/>
        <family val="2"/>
        <scheme val="minor"/>
      </rPr>
      <t>2</t>
    </r>
  </si>
  <si>
    <r>
      <t>Criticality</t>
    </r>
    <r>
      <rPr>
        <vertAlign val="superscript"/>
        <sz val="11"/>
        <rFont val="Calibri"/>
        <family val="2"/>
        <scheme val="minor"/>
      </rPr>
      <t>1</t>
    </r>
  </si>
  <si>
    <t>Commitment Level</t>
  </si>
  <si>
    <t>Test Environment</t>
  </si>
  <si>
    <t>BCDR Response Plan</t>
  </si>
  <si>
    <t>Fault Tree Analysis</t>
  </si>
  <si>
    <t>Support Hours</t>
  </si>
  <si>
    <t>Cyber Liability Insurance</t>
  </si>
  <si>
    <t>Hybrid Connectivity</t>
  </si>
  <si>
    <t>Network</t>
  </si>
  <si>
    <t>Availability Architecture</t>
  </si>
  <si>
    <t>Application Logic</t>
  </si>
  <si>
    <t>Backup Retention Period</t>
  </si>
  <si>
    <t>Recovery Architecture</t>
  </si>
  <si>
    <t>Cross Region Replication</t>
  </si>
  <si>
    <t>Deploy as Code</t>
  </si>
  <si>
    <t>Configure as Code</t>
  </si>
  <si>
    <t>Configuration Update as Code</t>
  </si>
  <si>
    <t>Application Update as Code</t>
  </si>
  <si>
    <t>Deployment Slots</t>
  </si>
  <si>
    <t>Application Insights: Availability Tests</t>
  </si>
  <si>
    <t>Application Insights: Live Metrics</t>
  </si>
  <si>
    <t>Application Insights: Usage</t>
  </si>
  <si>
    <t>Application Insights: Smart Detection</t>
  </si>
  <si>
    <t>Service Health</t>
  </si>
  <si>
    <t>Resource Health</t>
  </si>
  <si>
    <t>Planned Maintenance</t>
  </si>
  <si>
    <t>Network Monitoring</t>
  </si>
  <si>
    <t>Performance Metrics</t>
  </si>
  <si>
    <t>Change Analysis</t>
  </si>
  <si>
    <t>Activity Audit Logs</t>
  </si>
  <si>
    <t>Diagnostic Logs</t>
  </si>
  <si>
    <t>Application Workbook and/or Dashboard</t>
  </si>
  <si>
    <t>Autoscale</t>
  </si>
  <si>
    <t>Alerting and Notification</t>
  </si>
  <si>
    <t>Microsoft Defender for Cloud: Regulatory Compliance Monitoring</t>
  </si>
  <si>
    <t>Network Security:
DDoS Protection (NS-5)</t>
  </si>
  <si>
    <t>Identity Management (IM-all)</t>
  </si>
  <si>
    <t>Privileged Access: Determine Access Process for Support (PA-8)</t>
  </si>
  <si>
    <t>Data Protection (DP-all)</t>
  </si>
  <si>
    <t>Logging and Threat Detection: Enable Threat Detection Capabilities (LT-1) Microsoft Sentinel</t>
  </si>
  <si>
    <t>Logging and Threat Detection: Enable Threat Detection Capabilities (LT-1) Microsoft Defender for Cloud</t>
  </si>
  <si>
    <t>Posture and Vulnerability Management: Rapidly and Automatically Remediate Vulnerabilities (PV-6) Update Management</t>
  </si>
  <si>
    <t>Backup and Recovery: Protect Backup and Recovery Data (BR-2) Ransomware</t>
  </si>
  <si>
    <t>Backup and Recovery: Protect Backup and Recovery Data (BR-2) Immutable Storage</t>
  </si>
  <si>
    <t>Production Redeployment</t>
  </si>
  <si>
    <t>Failover</t>
  </si>
  <si>
    <t>Recovery</t>
  </si>
  <si>
    <t>Unit</t>
  </si>
  <si>
    <t>Smoke</t>
  </si>
  <si>
    <t>UI</t>
  </si>
  <si>
    <t>Load</t>
  </si>
  <si>
    <t>Stress</t>
  </si>
  <si>
    <t>Performance</t>
  </si>
  <si>
    <t>Capacity</t>
  </si>
  <si>
    <t>Chaos</t>
  </si>
  <si>
    <t>Penetration</t>
  </si>
  <si>
    <t>User Acceptance</t>
  </si>
  <si>
    <t>Frequency</t>
  </si>
  <si>
    <t>Enhanced</t>
  </si>
  <si>
    <t>As required</t>
  </si>
  <si>
    <t>Required</t>
  </si>
  <si>
    <t>24x7</t>
  </si>
  <si>
    <t>Include</t>
  </si>
  <si>
    <t>ExpressRoute 2x circuits, different Network Service  providers, different colocation facilities. S2S Backup.</t>
  </si>
  <si>
    <t>Zone and Geographic redundant.</t>
  </si>
  <si>
    <r>
      <t xml:space="preserve">Availability Set
Availability Zone: Active-Recover
Availability Zone: Active-Passive-Passive
Availability Zone: Active-Active-Passive
</t>
    </r>
    <r>
      <rPr>
        <b/>
        <sz val="11"/>
        <rFont val="Calibri"/>
        <family val="2"/>
        <scheme val="minor"/>
      </rPr>
      <t>Availability Zone: Active-Active-Active</t>
    </r>
    <r>
      <rPr>
        <sz val="11"/>
        <rFont val="Calibri"/>
        <family val="2"/>
        <scheme val="minor"/>
      </rPr>
      <t xml:space="preserve">
</t>
    </r>
    <r>
      <rPr>
        <b/>
        <sz val="11"/>
        <rFont val="Calibri"/>
        <family val="2"/>
        <scheme val="minor"/>
      </rPr>
      <t>Geography (Paired Region): Active-Active
Geography (Paired Region): Active-Passive (Hot Standby)
Geography (Paired Region): Cold Standby</t>
    </r>
  </si>
  <si>
    <t>Request Timeouts. Retry Logic. Exception and Error Handling. Queuing and Message Handling.</t>
  </si>
  <si>
    <t>Zone, Region and Geographic Restorable</t>
  </si>
  <si>
    <t>As Required</t>
  </si>
  <si>
    <t>Alert, email, SMS, auto-ticket (Severity 0)</t>
  </si>
  <si>
    <t>3-monthly</t>
  </si>
  <si>
    <r>
      <t xml:space="preserve">Availability Set
</t>
    </r>
    <r>
      <rPr>
        <b/>
        <sz val="11"/>
        <rFont val="Calibri"/>
        <family val="2"/>
        <scheme val="minor"/>
      </rPr>
      <t>Availability Zone: Active-Recover
Availability Zone: Active-Passive-Passive
Availability Zone: Active-Active-Passive
Availability Zone: Active-Active-Active
Geography (Paired Region): Active-Active
Geography (Paired Region): Active-Passive (Hot Standby)
Geography (Paired Region): Cold Standby</t>
    </r>
  </si>
  <si>
    <t>7-years</t>
  </si>
  <si>
    <t>Standard</t>
  </si>
  <si>
    <t>Not required</t>
  </si>
  <si>
    <t>8x5</t>
  </si>
  <si>
    <t>Do not include</t>
  </si>
  <si>
    <t>Zone redundant</t>
  </si>
  <si>
    <t>Zone  Restorable</t>
  </si>
  <si>
    <t>Alert, email, auto-ticket (Severity 1)</t>
  </si>
  <si>
    <t>6-monthly</t>
  </si>
  <si>
    <t>Base</t>
  </si>
  <si>
    <t>Single instance</t>
  </si>
  <si>
    <t>Redeploy on disaster</t>
  </si>
  <si>
    <t>Alert, email, auto-ticket (Severity 2)</t>
  </si>
  <si>
    <t>Annually</t>
  </si>
  <si>
    <t>Alert, email, auto-ticket (Severity 3)</t>
  </si>
  <si>
    <t>None</t>
  </si>
  <si>
    <t>∞</t>
  </si>
  <si>
    <t>0x0</t>
  </si>
  <si>
    <t>Required (where supported by the application) due to the criticality of the application. Exceptions are allowed, but must be justified.</t>
  </si>
  <si>
    <t>Not required based on the criticality of the application. It can however still be implemented with justification and cost approval.</t>
  </si>
  <si>
    <t>Optional/subject to support, compliance or application requirements.</t>
  </si>
  <si>
    <t>Deployment and testing for mission-critical workloads on Azure - Microsoft Azure Well-Architected Framework</t>
  </si>
  <si>
    <t>Categories are aligned to the standard requirements.</t>
  </si>
  <si>
    <t>Security Controls aligned with the Microsoft Cloud Security Benchmark v1</t>
  </si>
  <si>
    <t>In-depth security guidance is out-of-scope for this guide. Security references are limited to what is considered essential for Application BCDR purposes</t>
  </si>
  <si>
    <t>Fault Modeling and Resilience Strategies (example)</t>
  </si>
  <si>
    <t>A useful preparation step that the organization could consider is to define common types of failures along with agreed resiliency strategies that should be implemented. The resiliency strategies should provide the required level of recoverability and availability that is most appropriate for each tier of application. Documenting types of failure with pre-approved mitigation strategies for each application criticality tier simplifies the tasks of creating business commitment models, performing application fault tree analysis and designing BCDR solutions.</t>
  </si>
  <si>
    <r>
      <t xml:space="preserve">Virtual Machine - Administrator Access </t>
    </r>
    <r>
      <rPr>
        <b/>
        <vertAlign val="superscript"/>
        <sz val="14"/>
        <color theme="1"/>
        <rFont val="Calibri"/>
        <family val="2"/>
        <scheme val="minor"/>
      </rPr>
      <t>1 2</t>
    </r>
  </si>
  <si>
    <r>
      <t xml:space="preserve">User Access </t>
    </r>
    <r>
      <rPr>
        <b/>
        <vertAlign val="superscript"/>
        <sz val="14"/>
        <color theme="1"/>
        <rFont val="Calibri"/>
        <family val="2"/>
        <scheme val="minor"/>
      </rPr>
      <t>1 3</t>
    </r>
  </si>
  <si>
    <r>
      <t xml:space="preserve">Application Deployment </t>
    </r>
    <r>
      <rPr>
        <b/>
        <vertAlign val="superscript"/>
        <sz val="14"/>
        <color theme="1"/>
        <rFont val="Calibri"/>
        <family val="2"/>
        <scheme val="minor"/>
      </rPr>
      <t>8</t>
    </r>
    <r>
      <rPr>
        <b/>
        <sz val="14"/>
        <color theme="1"/>
        <rFont val="Calibri"/>
        <family val="2"/>
        <scheme val="minor"/>
      </rPr>
      <t xml:space="preserve"> </t>
    </r>
    <r>
      <rPr>
        <b/>
        <vertAlign val="superscript"/>
        <sz val="14"/>
        <color theme="1"/>
        <rFont val="Calibri"/>
        <family val="2"/>
        <scheme val="minor"/>
      </rPr>
      <t>9</t>
    </r>
  </si>
  <si>
    <t>Virtual Machine - Region Failure</t>
  </si>
  <si>
    <t>Virtual Machine - Zone Failure</t>
  </si>
  <si>
    <r>
      <t xml:space="preserve">Virtual Machine - Local Failure </t>
    </r>
    <r>
      <rPr>
        <b/>
        <vertAlign val="superscript"/>
        <sz val="14"/>
        <color theme="1"/>
        <rFont val="Calibri"/>
        <family val="2"/>
        <scheme val="minor"/>
      </rPr>
      <t>10</t>
    </r>
  </si>
  <si>
    <t>Virtual Machine - Heavy Load</t>
  </si>
  <si>
    <t>Refer to the Business Commitment Model for tier assignment to application criticality</t>
  </si>
  <si>
    <t>Resilience in Azure Whitepaper | Microsoft Azure</t>
  </si>
  <si>
    <t>Create a resilient access control management strategy - Microsoft Entra</t>
  </si>
  <si>
    <t>Administrator access to Azure and on-premises services (devices, connectivity, Azure Portal, Azure Bastion, etc)</t>
  </si>
  <si>
    <t>User access to applications  (devices, connections, etc)</t>
  </si>
  <si>
    <t>Currently, new Bastion deployments don't support zone redundancies. Previously deployed bastions may or may not be zone-redundant. The exceptions are Bastion deployments in Korea Central and Southeast Asia, which do support zone redundancies</t>
  </si>
  <si>
    <t>Securing your repository</t>
  </si>
  <si>
    <t>Enforcing repository management policies in your enterprise</t>
  </si>
  <si>
    <t>Safe deployment practices - Azure DevOps</t>
  </si>
  <si>
    <t>Application deployment resilience can be improved by making the repository more resilient, making the deployment actions or pipelines more resilient and using safe application deployment practices</t>
  </si>
  <si>
    <t>Local power, network, hardware or software failures such as a disk-drive failure</t>
  </si>
  <si>
    <t>Roles and Responsibilities (template)</t>
  </si>
  <si>
    <t>This template can be used to define both the application and organization BCDR roles and responsibilities.</t>
  </si>
  <si>
    <t>Function</t>
  </si>
  <si>
    <t>Description</t>
  </si>
  <si>
    <t>Application Architect</t>
  </si>
  <si>
    <t>Application Owner</t>
  </si>
  <si>
    <t>BCDR Engineer</t>
  </si>
  <si>
    <t>UAT Tester</t>
  </si>
  <si>
    <t>Application Licensing Specialist</t>
  </si>
  <si>
    <t>Business Continuity Owner</t>
  </si>
  <si>
    <t>Enterprise Architect</t>
  </si>
  <si>
    <t>IT Security Manager</t>
  </si>
  <si>
    <t>Risk Manager</t>
  </si>
  <si>
    <t>Communication Manager</t>
  </si>
  <si>
    <t>Platform Landing Zone Architect</t>
  </si>
  <si>
    <t>Project Manager</t>
  </si>
  <si>
    <t>Application BCDR Cost Analysis</t>
  </si>
  <si>
    <t>Calculate the cost of providing BCDR to the application and present the cost to the business for approval</t>
  </si>
  <si>
    <t>R</t>
  </si>
  <si>
    <t>A</t>
  </si>
  <si>
    <t>C</t>
  </si>
  <si>
    <t>I</t>
  </si>
  <si>
    <t>Application BCDR Design</t>
  </si>
  <si>
    <t>Design BCDR for the application</t>
  </si>
  <si>
    <t>Application BCDR Design Updates</t>
  </si>
  <si>
    <t>Maintains the BCDR plans, procedures, implementation and all documentation for the application</t>
  </si>
  <si>
    <t>Application BCDR Drill</t>
  </si>
  <si>
    <t>Carry out scheduled BCDR drills for the application</t>
  </si>
  <si>
    <t>Application BCDR Drill Scheduling</t>
  </si>
  <si>
    <t>Schedule BCDR drills and record test results on BCDR dashboard and reports</t>
  </si>
  <si>
    <t>Application BCDR Implementation</t>
  </si>
  <si>
    <t>Implement application BCDR as designed</t>
  </si>
  <si>
    <t>Application BCDR Metrics</t>
  </si>
  <si>
    <t>Define metrics as part of application requirements definition</t>
  </si>
  <si>
    <t>Application BCDR Owner</t>
  </si>
  <si>
    <t>Owns BCDR for the application</t>
  </si>
  <si>
    <t>Application BCDR Project Plan</t>
  </si>
  <si>
    <t>Application BCDR Project</t>
  </si>
  <si>
    <t>Application BCDR Requirements</t>
  </si>
  <si>
    <t>Define BCDR requirements by running application interviews with the business</t>
  </si>
  <si>
    <t>Application BCDR Roles</t>
  </si>
  <si>
    <t>Define application BCDR roles</t>
  </si>
  <si>
    <t>Application BCDR Tooling</t>
  </si>
  <si>
    <t>Define application-specific BCDR tooling</t>
  </si>
  <si>
    <t>Application BIA</t>
  </si>
  <si>
    <t>Create an application business impact analysis</t>
  </si>
  <si>
    <t>Application Contingency Plan</t>
  </si>
  <si>
    <t>Create a contingency plan for the application to be used in the event that the application availability cannot be restored</t>
  </si>
  <si>
    <t>Application Compliance Management</t>
  </si>
  <si>
    <t>Manage all aspects of ensuring the application meets all compliance requirements.</t>
  </si>
  <si>
    <t>Application Criticality &amp; Business Commitment</t>
  </si>
  <si>
    <t>Assign application criticality and confirm business commitment to the relevant BCDR design</t>
  </si>
  <si>
    <t>Application Fault Tree Analysis</t>
  </si>
  <si>
    <t>Perform a Fault Tree Analysis for the application</t>
  </si>
  <si>
    <t>Application UAT</t>
  </si>
  <si>
    <t>Perform UAT for the application</t>
  </si>
  <si>
    <t>Application Implement Chaos Engineering</t>
  </si>
  <si>
    <t>Implement automated testing using chaos engineering concepts to inject faults into the application</t>
  </si>
  <si>
    <t>Application Implement Load Testing</t>
  </si>
  <si>
    <t>Implement automated load testing for the application</t>
  </si>
  <si>
    <t>Application Licensing</t>
  </si>
  <si>
    <t>Ensure that licensing is factored into the application cost for the BCDR implementation</t>
  </si>
  <si>
    <t>Application Map</t>
  </si>
  <si>
    <t>Create an application map for the application</t>
  </si>
  <si>
    <t>Application Monitoring</t>
  </si>
  <si>
    <t>Ensure that the application is monitored for failures</t>
  </si>
  <si>
    <t>Application Outage Communication</t>
  </si>
  <si>
    <t>Owns all application outage communication</t>
  </si>
  <si>
    <t>Application Outage Template</t>
  </si>
  <si>
    <t>Creates a template for the application to be used during outages</t>
  </si>
  <si>
    <t>Application Security BCDR Design</t>
  </si>
  <si>
    <t>Design the application BCDR with regard to security including ransomware and application availability attack mitigation</t>
  </si>
  <si>
    <t>Application UAT automation</t>
  </si>
  <si>
    <t>Automates the UAT of the application</t>
  </si>
  <si>
    <t>Organization BCDR Cost Analysis</t>
  </si>
  <si>
    <t>Calculate the cost of providing BCDR to the organization across all applications and present the cost to the business for approval</t>
  </si>
  <si>
    <t>Organization BCDR Dashboard</t>
  </si>
  <si>
    <t>Creates and maintains a BCDR dashboard that spans the application portfolio for the organization</t>
  </si>
  <si>
    <t>Organization BCDR Design</t>
  </si>
  <si>
    <t>Designs business continuity across the application portfolio for the organization</t>
  </si>
  <si>
    <t>Organization BCDR Design Updates</t>
  </si>
  <si>
    <t>Maintains the BCDR plans, procedures, implementation and all documentation across the application portfolio</t>
  </si>
  <si>
    <t>Organization BCDR Framework</t>
  </si>
  <si>
    <t xml:space="preserve">Define framework and create all templates </t>
  </si>
  <si>
    <t>Organization BCDR Function, Goals &amp; Objectives</t>
  </si>
  <si>
    <t>Define and manages the organization BCDR function, goals and objectives</t>
  </si>
  <si>
    <t>Organization BCDR Owner</t>
  </si>
  <si>
    <t>Owns BCDR for the organization</t>
  </si>
  <si>
    <t>Organization BCDR Project Plan</t>
  </si>
  <si>
    <t>Organization BCDR Framework Project</t>
  </si>
  <si>
    <t>Organization BCDR Roles</t>
  </si>
  <si>
    <t>Assigns BCDR roles at the organization level</t>
  </si>
  <si>
    <t>Organization BCDR Tooling</t>
  </si>
  <si>
    <t>Define BCDR tooling for the organization</t>
  </si>
  <si>
    <t>Organization Business Continuity Map</t>
  </si>
  <si>
    <t>A business continuity map across the application portfolio</t>
  </si>
  <si>
    <t>Organization Criticality Tiers</t>
  </si>
  <si>
    <t>Define an application criticality tiering assignment model for the organization</t>
  </si>
  <si>
    <t>Organization Fault Model (Typical Faults)</t>
  </si>
  <si>
    <t>Define typical failures with pre-approved business mitigation relevant to the defined application criticality tiers</t>
  </si>
  <si>
    <t>Organization Fault Tree Analysis</t>
  </si>
  <si>
    <t>Define and maintain a Fault Tree Analysis across the application portfolio for the organization</t>
  </si>
  <si>
    <t>Organization Implement Chaos Engineering</t>
  </si>
  <si>
    <t>Implement automated testing using chaos engineering concepts to inject faults into applications that are part of multi-application BCDR drills</t>
  </si>
  <si>
    <t>Organization Major Outage Communication</t>
  </si>
  <si>
    <t>Owns all outage communication at the organization level</t>
  </si>
  <si>
    <t>Organization Major Outage Template</t>
  </si>
  <si>
    <t>Defines a major outage communication template</t>
  </si>
  <si>
    <t>Organization Multi-Application BCDR Drill</t>
  </si>
  <si>
    <t>Carry out scheduled multi-application BCDR drills</t>
  </si>
  <si>
    <t>Organization Multi-Application BCDR Drill Scheduling</t>
  </si>
  <si>
    <t>Schedule multi-application BCDR drills and record test results on BCDR dashboard and reports</t>
  </si>
  <si>
    <t>Organization Multi-Application Functional Testing</t>
  </si>
  <si>
    <t>Perform UAT as part of a multi-application BCDR drill</t>
  </si>
  <si>
    <t>Organization multi-application UAT automation</t>
  </si>
  <si>
    <t>Automates the UAT across multiple applications</t>
  </si>
  <si>
    <t>Organization Risk Management</t>
  </si>
  <si>
    <t>Owns risk management for the organization</t>
  </si>
  <si>
    <t>Platform Landing Zone Alignment</t>
  </si>
  <si>
    <t>Ensures that all platform components shared or dedicated to a particular application aligns with the BCDR requirements of all applications</t>
  </si>
  <si>
    <t>Aligning responsibilities across teams - Cloud Adoption Framework</t>
  </si>
  <si>
    <t>Requirements (template)</t>
  </si>
  <si>
    <t>A workshop (or series of workshops) with all relevant stakeholders is recommended to gather relevant information for each application. The sample questions provided can be used to assess the application BCDR requirements for a new or existing system. The responses can then be used in the other templates in this guide.</t>
  </si>
  <si>
    <t>To develop a set of standard requirements:</t>
  </si>
  <si>
    <t>1. Consider the business commitment level.</t>
  </si>
  <si>
    <t>2. Consider requirements to meet both technical and business objectives.</t>
  </si>
  <si>
    <t>For each application:</t>
  </si>
  <si>
    <t>1. Define a single owner and one or more stakeholder roles for each requirement - refer to the RACI and Role assignment for candidate roles.</t>
  </si>
  <si>
    <t>2. Conduct interviews to gather information to complete the requirements questionnaire.</t>
  </si>
  <si>
    <t>&lt;Application Name&gt;</t>
  </si>
  <si>
    <t>ID</t>
  </si>
  <si>
    <t>Category</t>
  </si>
  <si>
    <r>
      <t xml:space="preserve">Commitment Level </t>
    </r>
    <r>
      <rPr>
        <vertAlign val="superscript"/>
        <sz val="11"/>
        <rFont val="Calibri"/>
        <family val="2"/>
        <scheme val="minor"/>
      </rPr>
      <t>1</t>
    </r>
  </si>
  <si>
    <t>Template(s)</t>
  </si>
  <si>
    <t>Workshop</t>
  </si>
  <si>
    <t>Stakeholder(s)</t>
  </si>
  <si>
    <t>Architecture Decision Record</t>
  </si>
  <si>
    <t>APP-001</t>
  </si>
  <si>
    <t>Decompose the application into distinct business functions with independent disaster recovery strategies and assigned criticality. Include independent availability and recovery targets for these business functions and scenarios. Include criticality window information that define whether the application or business function is critical at all times or only at certain times.</t>
  </si>
  <si>
    <t>All</t>
  </si>
  <si>
    <t>Business Commitment, Service Map, Architecture Gap Assessment</t>
  </si>
  <si>
    <t>Business</t>
  </si>
  <si>
    <t>APP-002</t>
  </si>
  <si>
    <t>Determine application hours of support.</t>
  </si>
  <si>
    <t>APP-003</t>
  </si>
  <si>
    <t>Contingency Plan: Design a method to continue business in the event that recovery takes an extended period of time or is not possible. Alternative forms of business may include manual orders, inventory, sales, etc.</t>
  </si>
  <si>
    <t>Technical</t>
  </si>
  <si>
    <t>APP-004</t>
  </si>
  <si>
    <t>Conduct a risk assessment and business impact analysis to determine the potential threats and scenarios that could affect business continuity. Calculate the downtime and data loss an application can tolerate before it affects the business operations and reputation.</t>
  </si>
  <si>
    <t>APP-005</t>
  </si>
  <si>
    <t>Fault Tree Analysis to identify fault-points and fault-modes. Consider the potential threats and risks to the application’s availability and performance.</t>
  </si>
  <si>
    <t>APP-006</t>
  </si>
  <si>
    <t>Metrics: Determine the required availability target (i.e., composite SLA) for the application and calculate the current/as-designed composite SLA (derived using the Azure SLAs for all relevant services).</t>
  </si>
  <si>
    <t>APP-007</t>
  </si>
  <si>
    <t>Cyber Liability Insurance.</t>
  </si>
  <si>
    <t>APP-008</t>
  </si>
  <si>
    <t>Metrics: Determine the required RTO (how long the application can be unavailable) for the application and calculate the current/as-designed RTO.</t>
  </si>
  <si>
    <t>APP-009</t>
  </si>
  <si>
    <t>Metrics: Determine the required RPO (how much data is acceptable to lose during a disaster) for the application and calculate the current/as-designed RPO.</t>
  </si>
  <si>
    <t>APP-010</t>
  </si>
  <si>
    <t>Metrics: Determine the required MTD for the application and calculate the current/as-designed MTD.</t>
  </si>
  <si>
    <t>APP-011</t>
  </si>
  <si>
    <t>Metrics: Determine the required MTTR for the application and calculate the current/as-designed MTTR.</t>
  </si>
  <si>
    <t>APP-012</t>
  </si>
  <si>
    <t>Metrics: Determine the required MTBF for the application and calculate the current/as-designed MTBF.</t>
  </si>
  <si>
    <t>APP-013</t>
  </si>
  <si>
    <t>Network: Include a failure path for cross-premises connectivity in a Fault Tree Analysis.</t>
  </si>
  <si>
    <t>APP-014</t>
  </si>
  <si>
    <t>Test environment with 1:1 Production environment parity.</t>
  </si>
  <si>
    <t>APP-015</t>
  </si>
  <si>
    <t>Create a BCDR Response Plan.</t>
  </si>
  <si>
    <t>APP-016</t>
  </si>
  <si>
    <t>People and Process</t>
  </si>
  <si>
    <t>Communication Plan for outages.</t>
  </si>
  <si>
    <t>Enhanced, Standard</t>
  </si>
  <si>
    <t>APP-017</t>
  </si>
  <si>
    <t>Identify and document all critical roles for the application. Include all the roles that need to be involved during a disaster recovery event e.g., administrators, business stakeholders and end users.</t>
  </si>
  <si>
    <t>APP-018</t>
  </si>
  <si>
    <t>Application Logic: Request timeouts to manage inter-component calls.</t>
  </si>
  <si>
    <t>APP-019</t>
  </si>
  <si>
    <t>Application Logic: Retry logic implementation to handle transient failures, with appropriate back-off strategies to avoid cascading failures.</t>
  </si>
  <si>
    <t>APP-020</t>
  </si>
  <si>
    <t>Application Logic: Eliminate all single points of failure from system communication flows.</t>
  </si>
  <si>
    <t>APP-021</t>
  </si>
  <si>
    <t>Application Logic: Application logic handling of exceptions and errors.</t>
  </si>
  <si>
    <t>APP-022</t>
  </si>
  <si>
    <t>Application Logic: Queuing and reliable messaging patterns to integrate system tiers.</t>
  </si>
  <si>
    <t>APP-023</t>
  </si>
  <si>
    <t>Ensure that required capacity and services are available in targeted failover/recovery regions and within Azure service scale limits and quotas.</t>
  </si>
  <si>
    <t>APP-024</t>
  </si>
  <si>
    <t>Deploy the application across multiple geographies.</t>
  </si>
  <si>
    <t>APP-025</t>
  </si>
  <si>
    <t>Avoid crossing geopolitical areas.</t>
  </si>
  <si>
    <t>APP-026</t>
  </si>
  <si>
    <t>Deploy the application across multiple regions.</t>
  </si>
  <si>
    <t>APP-027</t>
  </si>
  <si>
    <t>Remove all single points of failure by running multiple instances of system components.</t>
  </si>
  <si>
    <t>APP-028</t>
  </si>
  <si>
    <t>Deploy the application across multiple Availability Zones within a region.</t>
  </si>
  <si>
    <t>APP-029</t>
  </si>
  <si>
    <t>Deploy Virtual Machines across multiple Availability Sets within the region.</t>
  </si>
  <si>
    <t>APP-030</t>
  </si>
  <si>
    <t>Deploy the application across multiple regions in an active-active configuration.</t>
  </si>
  <si>
    <t>APP-031</t>
  </si>
  <si>
    <t>Deploy the application across multiple regions in an active-passive configuration.</t>
  </si>
  <si>
    <t>APP-032</t>
  </si>
  <si>
    <t>Use load balancing to distribute traffic across multiple nodes between regions.</t>
  </si>
  <si>
    <t>APP-033</t>
  </si>
  <si>
    <t>Use load balancing to distribute traffic across multiple nodes within a region.</t>
  </si>
  <si>
    <t>APP-034</t>
  </si>
  <si>
    <t>Use load balancing to distribute traffic across multiple nodes between different cloud providers.</t>
  </si>
  <si>
    <t>APP-035</t>
  </si>
  <si>
    <t>Use load balancing to distribute traffic across multiple nodes between on-premises and Azure.</t>
  </si>
  <si>
    <t>APP-036</t>
  </si>
  <si>
    <t>Implement health probes to check the health of system components and compound system health.</t>
  </si>
  <si>
    <t>APP-037</t>
  </si>
  <si>
    <t>Use Azure Load Balancer Standard or Zone redundant Application Gateways to load balance traffic across Availability Zones.</t>
  </si>
  <si>
    <t>APP-038</t>
  </si>
  <si>
    <t>Collocate components with sensitive latency requirements in the same proximity. Examples include proximity groups.</t>
  </si>
  <si>
    <t>APP-039</t>
  </si>
  <si>
    <t>Autoscaling of system components (integrated with Azure Monitor).</t>
  </si>
  <si>
    <t>APP-040</t>
  </si>
  <si>
    <t>Availability Zone support in required region(s).</t>
  </si>
  <si>
    <t>APP-041</t>
  </si>
  <si>
    <t>Network: Ensure traffic to the system is routable in the case of a regional failure.</t>
  </si>
  <si>
    <t>APP-042</t>
  </si>
  <si>
    <t>Network: Ensure client traffic can be routed to the system in the case of region/zone/network outages.</t>
  </si>
  <si>
    <t>APP-043</t>
  </si>
  <si>
    <t>Network: Ensure network connectivity redundancy for on premise data/system sources.</t>
  </si>
  <si>
    <t>APP-044</t>
  </si>
  <si>
    <t>Network: Ensure redundant connections from different locations are used for cross-premises connectivity (ExpressRoute or VPN).</t>
  </si>
  <si>
    <t>APP-045</t>
  </si>
  <si>
    <t>Network: Ensure redundant Hybrid Connectivity for on-premises dependencies.</t>
  </si>
  <si>
    <t>APP-046</t>
  </si>
  <si>
    <t>Network: Use Zone Redundant Gateways for cross-premises connectivity (ExpressRoute or VPN).</t>
  </si>
  <si>
    <t>APP-047</t>
  </si>
  <si>
    <t>Define a backup strategy in alignment with recovery targets within the region.</t>
  </si>
  <si>
    <t>APP-048</t>
  </si>
  <si>
    <t>Define a backup strategy in alignment with recovery targets across regions.</t>
  </si>
  <si>
    <t>APP-049</t>
  </si>
  <si>
    <t>Determine legal and regulatory backup retention requirements for the application’s BCDR compliance.</t>
  </si>
  <si>
    <t>APP-050</t>
  </si>
  <si>
    <t>Configure the Archive tier in Azure Backup for long term retention of data.</t>
  </si>
  <si>
    <t>APP-051</t>
  </si>
  <si>
    <t>Use Azure Site Recovery to help keep critical applications running during planned and unplanned outages.</t>
  </si>
  <si>
    <t>APP-052</t>
  </si>
  <si>
    <t>APP-053</t>
  </si>
  <si>
    <t>APP-054</t>
  </si>
  <si>
    <t>APP-055</t>
  </si>
  <si>
    <t>APP-056</t>
  </si>
  <si>
    <t>Enhanced, Standard, Base</t>
  </si>
  <si>
    <t>APP-057</t>
  </si>
  <si>
    <t>APP-058</t>
  </si>
  <si>
    <t>APP-059</t>
  </si>
  <si>
    <t>Performance Metrics Monitoring</t>
  </si>
  <si>
    <t>APP-060</t>
  </si>
  <si>
    <t>APP-061</t>
  </si>
  <si>
    <t>APP-062</t>
  </si>
  <si>
    <t>Application workbook and/or dashboards.</t>
  </si>
  <si>
    <t>APP-063</t>
  </si>
  <si>
    <t>APP-064</t>
  </si>
  <si>
    <t>Security</t>
  </si>
  <si>
    <t>APP-065</t>
  </si>
  <si>
    <t>Network Security: DDoS Protection</t>
  </si>
  <si>
    <t>APP-066</t>
  </si>
  <si>
    <t>Identity Management</t>
  </si>
  <si>
    <t>APP-067</t>
  </si>
  <si>
    <t>Privileged Access: Determine Access Process for Support</t>
  </si>
  <si>
    <t>APP-068</t>
  </si>
  <si>
    <t>Data Protection</t>
  </si>
  <si>
    <t>APP-069</t>
  </si>
  <si>
    <t>Logging and Threat Detection: Enable Threat Detection Capabilities - Microsoft Sentinel</t>
  </si>
  <si>
    <t>APP-070</t>
  </si>
  <si>
    <t>Logging and Threat Detection: Enable Threat Detection Capabilities - Microsoft Defender for Cloud</t>
  </si>
  <si>
    <t>APP-071</t>
  </si>
  <si>
    <t>APP-072</t>
  </si>
  <si>
    <t>Backup and Recovery: Protect Backup and Recovery Data - Ransomware and rogue admin scenario mitigation by using multi-user authorization for Azure Backup to help add a layer of authorization for critical backup operations like policy modifications, disabling soft delete, and vault deletions.</t>
  </si>
  <si>
    <t>APP-073</t>
  </si>
  <si>
    <t>Backup and Recovery: Protect Backup and Recovery Data - Immutable Storage to block operations that could lead to loss of recovery points. Can help protect backup data against ransomware attacks and other malicious actors.</t>
  </si>
  <si>
    <t>APP-074</t>
  </si>
  <si>
    <t>Validation and Testing</t>
  </si>
  <si>
    <t>Failover/Failback Test: [Scheduled/On-demand/Ad-hoc] [Automated/Manual] steps and processes.</t>
  </si>
  <si>
    <t>APP-075</t>
  </si>
  <si>
    <t>Recovery Test: [Scheduled/On-demand/Ad-hoc] [Automated/Manual] steps and processes.</t>
  </si>
  <si>
    <t>APP-076</t>
  </si>
  <si>
    <t>Unit Test: [Scheduled/On-demand/Ad-hoc] [Automated/Manual] steps and processes.</t>
  </si>
  <si>
    <t>APP-077</t>
  </si>
  <si>
    <t>Smoke Test: [Scheduled/On-demand/Ad-hoc] [Automated/Manual] steps and processes.</t>
  </si>
  <si>
    <t>APP-078</t>
  </si>
  <si>
    <t>UI Test: [Scheduled/On-demand/Ad-hoc] [Automated/Manual] steps and processes.</t>
  </si>
  <si>
    <t>APP-079</t>
  </si>
  <si>
    <t>Load Test: [Scheduled/On-demand/Ad-hoc] [Automated/Manual] steps and processes. Capture expected peak volumes to test scalability and performance under load. Use Azure Load Testing to generate high-scale load and obtain actionable insights to identify performance bottlenecks.</t>
  </si>
  <si>
    <t>APP-080</t>
  </si>
  <si>
    <t>Stress Test: [Scheduled/On-demand/Ad-hoc] [Automated/Manual] steps and processes.</t>
  </si>
  <si>
    <t>APP-081</t>
  </si>
  <si>
    <t>Performance Test: [Scheduled/On-demand/Ad-hoc] [Automated/Manual] steps and processes. Capture performance baselines to establish expected usage patterns. Test and validate defined latency and throughput targets per scenario and component.</t>
  </si>
  <si>
    <t>APP-082</t>
  </si>
  <si>
    <t>Capacity Test: [Scheduled/On-demand/Ad-hoc] [Automated/Manual] steps and processes. Calculate target data sizes and associated growth rates per scenario and component.</t>
  </si>
  <si>
    <t>APP-083</t>
  </si>
  <si>
    <t>Chaos Test: [Scheduled/On-demand/Ad-hoc] [Automated/Manual] steps and processes.</t>
  </si>
  <si>
    <t>APP-084</t>
  </si>
  <si>
    <t>Penetration Test: [Scheduled/On-demand/Ad-hoc] [Automated/Manual] steps and processes.</t>
  </si>
  <si>
    <t>Enhanced, Standard, Base, None</t>
  </si>
  <si>
    <t>APP-085</t>
  </si>
  <si>
    <t>Test and revalidate all required tests. This can include and or all of Failover/Failback, recovery, Unit, Smoke, UI, Load, Stress, Performance, Chaos and Penetration testing.</t>
  </si>
  <si>
    <t>APP-086</t>
  </si>
  <si>
    <t>Production Redeployment Test: Validate and test the time it takes to deploy an entire production environment. [Scheduled/On-demand/Ad-hoc] [Automated/Manual] steps and processes.</t>
  </si>
  <si>
    <t>APP-093</t>
  </si>
  <si>
    <t>UAT Test: [Scheduled/On-demand/Ad-hoc] [Automated/Manual] steps and processes.</t>
  </si>
  <si>
    <t>APP-087</t>
  </si>
  <si>
    <t>Use deployment slots to stage changes prior to production deployment.</t>
  </si>
  <si>
    <t>APP-088</t>
  </si>
  <si>
    <t>Update application as code. This applies to changes to the application code for instance routine product pricing updates on a web app.</t>
  </si>
  <si>
    <t>APP-089</t>
  </si>
  <si>
    <t>Update configuration as code. This applies to changes to the as-deployed service, and not changes to the application code itself for instance, a settings change on a web app.</t>
  </si>
  <si>
    <t>APP-090</t>
  </si>
  <si>
    <t>Deploy application as code.</t>
  </si>
  <si>
    <t>APP-091</t>
  </si>
  <si>
    <t>Configure application as code.</t>
  </si>
  <si>
    <t>APP-092</t>
  </si>
  <si>
    <t>Calculate the Total Cost of Ownership, with separation for BCDR related cost.</t>
  </si>
  <si>
    <r>
      <t xml:space="preserve">Enable regulatory compliance standard monitoring in Microsoft Defender for Cloud. </t>
    </r>
    <r>
      <rPr>
        <u/>
        <vertAlign val="superscript"/>
        <sz val="11"/>
        <color theme="10"/>
        <rFont val="Calibri"/>
        <family val="2"/>
        <scheme val="minor"/>
      </rPr>
      <t>2</t>
    </r>
  </si>
  <si>
    <t>Microsoft Well-Architected Framework Assessments</t>
  </si>
  <si>
    <t>The business commitment level is aligned with the business commitment template</t>
  </si>
  <si>
    <t>Determine compliance requirements</t>
  </si>
  <si>
    <t>Test Types (template)</t>
  </si>
  <si>
    <t>Test Plans and types of tests should be defined and mandated relevant to the application criticality.</t>
  </si>
  <si>
    <t>For each application, consider:</t>
  </si>
  <si>
    <t xml:space="preserve">1. The type and number of tests that are required, as mandated by the business commitment based on the criticality of the application. Refer to the table below for types of tests to consider. </t>
  </si>
  <si>
    <t>2. Automating the test.</t>
  </si>
  <si>
    <t>3. Automating and scheduling execution of the test to support application updates and routine disaster recovery and continuity drills.</t>
  </si>
  <si>
    <r>
      <t xml:space="preserve">4. Decide whether a 'shit right' or 'shift left' approach is required. </t>
    </r>
    <r>
      <rPr>
        <vertAlign val="superscript"/>
        <sz val="11"/>
        <color theme="1"/>
        <rFont val="Calibri"/>
        <family val="2"/>
        <scheme val="minor"/>
      </rPr>
      <t>1</t>
    </r>
    <r>
      <rPr>
        <sz val="11"/>
        <color theme="1"/>
        <rFont val="Calibri"/>
        <family val="2"/>
        <scheme val="minor"/>
      </rPr>
      <t xml:space="preserve"> </t>
    </r>
    <r>
      <rPr>
        <vertAlign val="superscript"/>
        <sz val="11"/>
        <color theme="1"/>
        <rFont val="Calibri"/>
        <family val="2"/>
        <scheme val="minor"/>
      </rPr>
      <t>2</t>
    </r>
  </si>
  <si>
    <t>5. Consider resources to automate and schedule tests.</t>
  </si>
  <si>
    <t>6. The order that tests should be conducted, where relevant, for example a dependency on a service being online.</t>
  </si>
  <si>
    <t>7. Additional rows where multiple tests of the same type is typically required.</t>
  </si>
  <si>
    <t>8. Rows for events that precede a test, for example a monthly update to the application code to reflect new product pricing or special deals.</t>
  </si>
  <si>
    <t>9. Add scheduled tests to the business critical calendar ensuring that there are no clashes with important business events.</t>
  </si>
  <si>
    <t>Test (1)</t>
  </si>
  <si>
    <r>
      <t xml:space="preserve">Shift </t>
    </r>
    <r>
      <rPr>
        <b/>
        <vertAlign val="superscript"/>
        <sz val="11"/>
        <rFont val="Calibri"/>
        <family val="2"/>
        <scheme val="minor"/>
      </rPr>
      <t>1</t>
    </r>
  </si>
  <si>
    <r>
      <t xml:space="preserve">Test Type </t>
    </r>
    <r>
      <rPr>
        <b/>
        <vertAlign val="superscript"/>
        <sz val="11"/>
        <rFont val="Calibri"/>
        <family val="2"/>
        <scheme val="minor"/>
      </rPr>
      <t>2</t>
    </r>
  </si>
  <si>
    <t>Last Test</t>
  </si>
  <si>
    <t>Last Functional  Result</t>
  </si>
  <si>
    <t>Last Performance Result</t>
  </si>
  <si>
    <t>Duration (Hours)</t>
  </si>
  <si>
    <t>Roles</t>
  </si>
  <si>
    <t>Cost (USD)</t>
  </si>
  <si>
    <t>Next Test</t>
  </si>
  <si>
    <t>Automated (2)</t>
  </si>
  <si>
    <t>Scheduled (3)</t>
  </si>
  <si>
    <t>References (5)</t>
  </si>
  <si>
    <t>Test Order (6)</t>
  </si>
  <si>
    <t>Business Owner</t>
  </si>
  <si>
    <t>Test Plan</t>
  </si>
  <si>
    <t>Comments</t>
  </si>
  <si>
    <t>Production Redeployment Test #1</t>
  </si>
  <si>
    <t>&lt;The business function that is the subject of the test. 'Application' where the test applies across all business functions.&gt;</t>
  </si>
  <si>
    <t>Confirms that application can be redeployed and that all expected business outcomes can be delivered.</t>
  </si>
  <si>
    <t>&lt;link&gt;</t>
  </si>
  <si>
    <t>Production Redeployment Test #2</t>
  </si>
  <si>
    <t>Failover + Failback Test #1</t>
  </si>
  <si>
    <t>Confirms that application can failover at every expected level of failover e.g., to another host in the same availability set, to another zone in the region, to another region and to another geography.</t>
  </si>
  <si>
    <t>Failover + Failback Test #2</t>
  </si>
  <si>
    <t>Failover + Failback Test #3</t>
  </si>
  <si>
    <t>Trip Bookings</t>
  </si>
  <si>
    <t>Test Plan (Failover)</t>
  </si>
  <si>
    <t>Recovery Test</t>
  </si>
  <si>
    <t>Confirms that application can be recovered at every expected level of failover e.g., restore to the same or a newly commissioned host, to another zone in the region, to another region, and to another geography.</t>
  </si>
  <si>
    <t>Test Plan (Recovery)</t>
  </si>
  <si>
    <t>Unit Test</t>
  </si>
  <si>
    <t>Confirms that application business logic works as expected. Validates the overall effect of code changes.</t>
  </si>
  <si>
    <t>Unit testing fundamentals - Visual Studio</t>
  </si>
  <si>
    <t>Smoke Test</t>
  </si>
  <si>
    <t>Identifies whether infrastructure and application components are available and function as expected. Typically, only a single virtual user session is tested. The outcome should be that the system responds with expected values and behaviour. Common smoke testing scenarios include reaching the HTTPS endpoint of a web application, querying a database, and simulating a user flow in the application.</t>
  </si>
  <si>
    <t>UI Test</t>
  </si>
  <si>
    <t>Validates that application user interfaces are deployed and that user interface interactions function as expected. You should use UI automation tools to drive automation. During a UI test, a script should mimic a realistic user scenario and complete a series of steps to execute actions and achieve an intended outcome.</t>
  </si>
  <si>
    <t>Load Test</t>
  </si>
  <si>
    <t>Validates scalability and application operation by increasing load rapidly and/or gradually until a predetermined threshold is reached. Load tests are typically designed around a particular user flow to verify that application requirements are satisfied under a defined load.</t>
  </si>
  <si>
    <t>Azure Load Testing documentation</t>
  </si>
  <si>
    <t>Load testing practices</t>
  </si>
  <si>
    <t>Stress Test</t>
  </si>
  <si>
    <t>Applies activities that overload existing resources to determine solution limits and verify the system's ability to recover gracefully. The main goal is to identify potential performance bottlenecks and scale limits. Conversely, scale down the computing resources of the system and monitor how it behaves under load and determine whether it can recover.</t>
  </si>
  <si>
    <t>Performance Test</t>
  </si>
  <si>
    <t>Combines aspects of load and stress testing to validate performance under load and establish benchmark behaviours for application operation.</t>
  </si>
  <si>
    <t>Performance testing - Microsoft Azure Well-Architected Framework</t>
  </si>
  <si>
    <t>Chaos Engineering Test</t>
  </si>
  <si>
    <t>Injects artificial failures into the system to evaluate how it reacts and to validate the effectiveness of resiliency measures, operational procedures, and mitigations. Shutting down infrastructure components, purposely degrading performance, and introducing application faults are examples of tests that can be used to verify that the application will react as expected when the scenarios actually occur.</t>
  </si>
  <si>
    <t>Azure Chaos Studio documentation - tutorials, API reference</t>
  </si>
  <si>
    <t>Incorporated into failover and recovery tests.</t>
  </si>
  <si>
    <t>Chaos Test - Validate impact of AAD Outage</t>
  </si>
  <si>
    <t>Chaos Test - Validate impact of DNS Outage</t>
  </si>
  <si>
    <t>Chaos Test - Validate impact of MV Availability Zone Failure</t>
  </si>
  <si>
    <t>Penetration Test #1</t>
  </si>
  <si>
    <t>Ensures that an application and its environment meet the requirements of an expected security posture. The goal is to identify security vulnerabilities. Security testing can include end-to-end software supply chain and package dependencies, with scanning and monitoring for known Common Vulnerabilities and Exposures (CVE).</t>
  </si>
  <si>
    <t>BreakingPoint Cloud</t>
  </si>
  <si>
    <t>Attacks may only be simulated using Microsoft approved testing partners</t>
  </si>
  <si>
    <t>Penetration Test #2</t>
  </si>
  <si>
    <t>Red Button</t>
  </si>
  <si>
    <t>Penetration Test #3</t>
  </si>
  <si>
    <t>RedWolf</t>
  </si>
  <si>
    <t>Testing carried out by designated user acceptance testers to verify the value delivered meets customer requirements, while reusing the test artifacts created by engineering teams.</t>
  </si>
  <si>
    <t>Contingency</t>
  </si>
  <si>
    <t>Application (all business functions)</t>
  </si>
  <si>
    <t>Confirms that business outcomes can be delivered without the IT systems being online.</t>
  </si>
  <si>
    <t>Shift right: These scenarios use a production or preproduction environment. Usually, you do shift-right scenarios with real customer traffic or simulated load.</t>
  </si>
  <si>
    <t>Shift left: These scenarios can use a development or shared test environment. You can do shift-left scenarios without any real customer traffic.</t>
  </si>
  <si>
    <t>Full Scale: A system outage is scheduled. A disaster event is simulated with all stakeholders present. All recovery activities are carried out with required changes to production systems.</t>
  </si>
  <si>
    <t>Review Plan: No business disruption. The plan is reviewed by all stakeholders.</t>
  </si>
  <si>
    <t>Simulation: No business disruption. A disaster event is simulated with all stakeholders present. All recovery activities are rehearsed without any changes to production systems.</t>
  </si>
  <si>
    <t>Backup and disaster recovery for apps - Microsoft Azure Well-Architected Framework</t>
  </si>
  <si>
    <t>Best practices for testing app reliability - Microsoft Azure Well-Architected Framework</t>
  </si>
  <si>
    <t>Checklist for reliability testing - Microsoft Azure Well-Architected Framework</t>
  </si>
  <si>
    <t>Deployment and testing for mission-critical workloads on Azure</t>
  </si>
  <si>
    <t>Monitoring for reliability - Microsoft Azure Well-Architected Framework</t>
  </si>
  <si>
    <t>Penetration testing</t>
  </si>
  <si>
    <t>Reliability patterns - Cloud Design Patterns</t>
  </si>
  <si>
    <t>Test apps for availability and resiliency - Microsoft Azure Well-Architected Framework</t>
  </si>
  <si>
    <t>Use chaos engineering to test Azure applications - Microsoft Azure Well-Architected Framework</t>
  </si>
  <si>
    <t>What is Azure Chaos Studio Preview?</t>
  </si>
  <si>
    <t>Requirements (example)</t>
  </si>
  <si>
    <t>Organization</t>
  </si>
  <si>
    <t>Contoso</t>
  </si>
  <si>
    <t>Business Unit</t>
  </si>
  <si>
    <t>Mission Control</t>
  </si>
  <si>
    <t>Mars Travel Bookings</t>
  </si>
  <si>
    <t>Technical Owner</t>
  </si>
  <si>
    <t>BCDR Coordinator</t>
  </si>
  <si>
    <t>External Facing</t>
  </si>
  <si>
    <t>Criticality Window</t>
  </si>
  <si>
    <t>At all times</t>
  </si>
  <si>
    <t>Design Date</t>
  </si>
  <si>
    <t>Design Revision</t>
  </si>
  <si>
    <t>Production Date</t>
  </si>
  <si>
    <t>Pre-production</t>
  </si>
  <si>
    <t>Development | Test</t>
  </si>
  <si>
    <t>Hosting Environment</t>
  </si>
  <si>
    <t>Azure | On-premises</t>
  </si>
  <si>
    <t>Repository</t>
  </si>
  <si>
    <t>Highly available multi-region web app - Azure Architecture Center</t>
  </si>
  <si>
    <t>Mars Travel Booking Application</t>
  </si>
  <si>
    <t>Application and all business functions are critical at all times.</t>
  </si>
  <si>
    <t>Contingency plan is required for manual activities.</t>
  </si>
  <si>
    <t>A BIA is required for this application.</t>
  </si>
  <si>
    <t>A FTA is required for this application.</t>
  </si>
  <si>
    <t>Required: 99.99%</t>
  </si>
  <si>
    <t>Compensation for financial damages in excess of $n is required for this application.</t>
  </si>
  <si>
    <t>RTO: 8-hours</t>
  </si>
  <si>
    <t>RPO: 4-hours</t>
  </si>
  <si>
    <t>MTD: 24-hours</t>
  </si>
  <si>
    <t>ITSM Report with current MTTR detail. MTTR &lt; 8-hours</t>
  </si>
  <si>
    <t>ITSM Report with current MTBF detail. MTBF &gt; 2-months</t>
  </si>
  <si>
    <t>Not Applicable</t>
  </si>
  <si>
    <t>…</t>
  </si>
  <si>
    <t>Required for internal stakeholders, external partner and public customer communication.</t>
  </si>
  <si>
    <t>Exceptions and errors must be gracefully handled</t>
  </si>
  <si>
    <t>Where possible services should be deployed in a zone redundant configuration. Load balancing across zones within the region is however not required for this application.</t>
  </si>
  <si>
    <t>An active-passive configuration is acceptable as all end users are  based in the primary region.</t>
  </si>
  <si>
    <t>Load balancing is required across the primary and paired region.</t>
  </si>
  <si>
    <t>Load balancing is required across the primary and paired region, not within the region.</t>
  </si>
  <si>
    <t>The load balancer should continuously check health and automatically failover to the paired region if a service is not available.</t>
  </si>
  <si>
    <t>Availability Zones are supported in the primary region i.e., Australia East for the application.</t>
  </si>
  <si>
    <t>10-year backup retention</t>
  </si>
  <si>
    <t>10-year backup retention requires the archive tier.</t>
  </si>
  <si>
    <t>The application is exposed to public networks and should be protected from HTTPS floods and DNS floods.</t>
  </si>
  <si>
    <t>The application require all identity management controls as defined by the MCSB v1.</t>
  </si>
  <si>
    <t xml:space="preserve">The application may need support from a cloud provider during a disaster event and therefore require an access process to be defined and communicated. </t>
  </si>
  <si>
    <t>The application require all data protection controls as defined by the MCSB v1.</t>
  </si>
  <si>
    <t>Automated, scheduled every 3 months.</t>
  </si>
  <si>
    <t>Revalidate strategy every 3 month as part of the scheduled testing.</t>
  </si>
  <si>
    <t>The business commitment level map back to the business commitment template</t>
  </si>
  <si>
    <t>Service Map (example)</t>
  </si>
  <si>
    <t>Data must be gathered for the application before a BCDR plan can be created.</t>
  </si>
  <si>
    <t>Link</t>
  </si>
  <si>
    <t>Application Development Logic</t>
  </si>
  <si>
    <t>Business Functions</t>
  </si>
  <si>
    <t>Services</t>
  </si>
  <si>
    <t>Dependencies (upstream)</t>
  </si>
  <si>
    <t>Dependencies (downstream)</t>
  </si>
  <si>
    <t>Directory Services</t>
  </si>
  <si>
    <t>Documentation</t>
  </si>
  <si>
    <t>Hardware</t>
  </si>
  <si>
    <t>Metrics</t>
  </si>
  <si>
    <t>Settings</t>
  </si>
  <si>
    <t>Software Bill of Materials</t>
  </si>
  <si>
    <t>Processes</t>
  </si>
  <si>
    <t>Owners</t>
  </si>
  <si>
    <t>Resilience (Availability)</t>
  </si>
  <si>
    <t>Resilience (Recovery)</t>
  </si>
  <si>
    <t>Vendors and Support Agreements</t>
  </si>
  <si>
    <t>Users</t>
  </si>
  <si>
    <t>Include all details of the application development logic that relate to application reliability.</t>
  </si>
  <si>
    <t>Request timeouts are configured to manage inter-component calls.</t>
  </si>
  <si>
    <t>Retry logic is implemented to handle transient failures, with appropriate back-off strategies to avoid cascading failures. </t>
  </si>
  <si>
    <t>All single points of failure have been eliminated from system communication flows.</t>
  </si>
  <si>
    <t>The application logic handles exceptions and errors.</t>
  </si>
  <si>
    <t>Queuing and reliable messaging patterns are used to integrate system tiers.</t>
  </si>
  <si>
    <t>Define the distinct business functions of the application along with their criticality.</t>
  </si>
  <si>
    <t>Product Catalogue (High)</t>
  </si>
  <si>
    <t>Trip Bookings (Business Critical)</t>
  </si>
  <si>
    <t>Online Payment Processing (Business Critical)</t>
  </si>
  <si>
    <t>Managing Inventory (Medium)</t>
  </si>
  <si>
    <t>Customer Service (Medium)</t>
  </si>
  <si>
    <t>Promoting Services (Medium)</t>
  </si>
  <si>
    <t>Reporting (Low)</t>
  </si>
  <si>
    <t>List all application components. Include up and downstream dependencies.</t>
  </si>
  <si>
    <t>App Service Plan</t>
  </si>
  <si>
    <t>Azure Active Directory</t>
  </si>
  <si>
    <t>Azure DNS</t>
  </si>
  <si>
    <t>Azure Front Door</t>
  </si>
  <si>
    <t>Azure Function App</t>
  </si>
  <si>
    <t>Azure Redis Cache</t>
  </si>
  <si>
    <t>Azure Service Bus</t>
  </si>
  <si>
    <t>Azure SQL</t>
  </si>
  <si>
    <t>Cosmos DB</t>
  </si>
  <si>
    <t>ExpressRoute Circuit</t>
  </si>
  <si>
    <t>Order Fulfillment (on-premises)</t>
  </si>
  <si>
    <t>Warehouse Inventory Management (on-premises)</t>
  </si>
  <si>
    <t>Applications that this application is dependent upon.</t>
  </si>
  <si>
    <t>Azure Active Directory: &lt;directory name&gt; (non-regional)</t>
    <phoneticPr fontId="65"/>
  </si>
  <si>
    <t>Azure DNS: &lt;zone name&gt; (non-regional)</t>
  </si>
  <si>
    <t>Azure Firewall: &lt;name&gt; (Australia East)</t>
  </si>
  <si>
    <t>Azure Front Door: &lt;name&gt; (non-regional)</t>
  </si>
  <si>
    <t>ExpressRoute Circuit: &lt;name&gt; (Australia East)</t>
  </si>
  <si>
    <t>Applications that are dependent on this application.</t>
  </si>
  <si>
    <t>Include all deployment details including the code repository e.g., GitHub, Azure Devops Services, etc), whether automated fully or partially, etc.</t>
  </si>
  <si>
    <t>Automation: Full</t>
  </si>
  <si>
    <t>Code Repository: GitHub</t>
  </si>
  <si>
    <t>Include the directory service provider (e.g., Azure Active Directory and Active Directory, Azure Active Directory Directory Services, etc) and the services that are relevant to the application.</t>
  </si>
  <si>
    <t>Azure Active Directory: Authentication</t>
  </si>
  <si>
    <t>Azure Active Directory: Authorization</t>
  </si>
  <si>
    <t>Conditional Access</t>
  </si>
  <si>
    <t>Multi-factor Authentication</t>
  </si>
  <si>
    <t>Gather all application documentation including existing BCDR details and historical application incidents.</t>
  </si>
  <si>
    <t>Administrator Guide</t>
  </si>
  <si>
    <t>Client Installation Guide</t>
  </si>
  <si>
    <t>Failure History Report</t>
  </si>
  <si>
    <t>Technical Architecture Design</t>
  </si>
  <si>
    <t>User Guide</t>
  </si>
  <si>
    <t>Include all hardware details.</t>
  </si>
  <si>
    <t>End User Laptop/Desktop Devices (e.g., Surface Laptop 5)</t>
  </si>
  <si>
    <t>End User Mobile Devices (e.g., iPhone 14)</t>
  </si>
  <si>
    <t>Corporate Office Network Equipment (e.g., Office Location/Name/Router/Switch)</t>
  </si>
  <si>
    <t>Corporate Data Center Networks (e.g., DC Location/Name)</t>
  </si>
  <si>
    <t>Cloud Connectivity (e.g., S2S, P2S, ExpressRoute, Internet)</t>
  </si>
  <si>
    <t>Include all environments that are hosting application components (e.g., On-premises, Azure, AWS, GCP).</t>
  </si>
  <si>
    <t>Azure</t>
  </si>
  <si>
    <t>Brisbane Data Center</t>
  </si>
  <si>
    <t>Sydney Pitt Street Building</t>
  </si>
  <si>
    <t>Composite SLA: 99.99%</t>
    <phoneticPr fontId="65"/>
  </si>
  <si>
    <t>RTO: 4-hours</t>
  </si>
  <si>
    <t>RPO: 1-hour</t>
  </si>
  <si>
    <t>MTD: 8-hours</t>
  </si>
  <si>
    <t>MTBF: 3-weeks</t>
  </si>
  <si>
    <t>MTTR: 1.5-hours</t>
  </si>
  <si>
    <t>List any specific settings that are required.</t>
  </si>
  <si>
    <t>Client: US Keyboard Layout</t>
  </si>
  <si>
    <t>Client: 4k Resolution</t>
  </si>
  <si>
    <t>List all key software.</t>
  </si>
  <si>
    <t>Azure App Service: .NET 4.8+</t>
  </si>
  <si>
    <t>Azure Cache for Redis: OSS Redis Version 6.0.x</t>
  </si>
  <si>
    <t xml:space="preserve">Azure Functions Runtime 4.0: .NET 6.0+ </t>
  </si>
  <si>
    <t>Azure SQL Database: Engine: 12, Compatibility Level: 150</t>
  </si>
  <si>
    <t>Client Internet Browser: Microsoft Edge 96+</t>
  </si>
  <si>
    <t>Client Operating Systems: Windows 10+</t>
  </si>
  <si>
    <t>Cosmos DB API Version: 2022-02-01</t>
  </si>
  <si>
    <t>Mobile Operating Systems: iOS 14+</t>
  </si>
  <si>
    <t>List all procedures that the application is subject to.</t>
  </si>
  <si>
    <t>Change Management</t>
  </si>
  <si>
    <t>Incident Management</t>
  </si>
  <si>
    <t>Knowledge Management</t>
  </si>
  <si>
    <t>Licensing</t>
  </si>
  <si>
    <t>Request Fulfillment</t>
  </si>
  <si>
    <t>Name the owners of the application and include owners for each business function where relevant.</t>
  </si>
  <si>
    <t xml:space="preserve">Technical Owner: &lt;Name&gt; </t>
  </si>
  <si>
    <t xml:space="preserve">Business Owner: &lt;Name&gt; </t>
  </si>
  <si>
    <t>BCDR Coordinator: &lt;Name&gt;</t>
  </si>
  <si>
    <t>BCDR Engineer: &lt;Name&gt;</t>
  </si>
  <si>
    <t xml:space="preserve">Product Catalogue (High): &lt;Name&gt; </t>
  </si>
  <si>
    <t xml:space="preserve">Trip Bookings (Business Critical): &lt;Name&gt; </t>
  </si>
  <si>
    <t xml:space="preserve">Online Payment Processing (Business Critical): &lt;Name&gt; </t>
  </si>
  <si>
    <t xml:space="preserve">Managing Inventory (Medium): &lt;Name&gt; </t>
  </si>
  <si>
    <t xml:space="preserve">Customer Service (Medium): &lt;Name&gt; </t>
  </si>
  <si>
    <t xml:space="preserve">Promoting Services (Medium): &lt;Name&gt; </t>
  </si>
  <si>
    <t xml:space="preserve">Reporting (Low): &lt;Name&gt; </t>
  </si>
  <si>
    <t xml:space="preserve">Detail components of the application along with their availability configuration. </t>
  </si>
  <si>
    <t>Regional (e.g., Azure Application Gateway, Internal/External Load Balancing, Autoscaling, Replication)</t>
  </si>
  <si>
    <t>Geographic (e.g., Azure Front Door, Azure Site Recovery, Replication)</t>
  </si>
  <si>
    <t xml:space="preserve">Detail components of the application along with their recoverability configuration. </t>
  </si>
  <si>
    <t>Regional (e.g., Azure Backup, Snapshots)</t>
  </si>
  <si>
    <t>Geographic (e.g., Cross-Region Restore)</t>
  </si>
  <si>
    <t>List all support agreements along with response times. Include any vendors that may not have a support agreement in place.</t>
  </si>
  <si>
    <t>Microsoft: Standard Support Plan (response time: 1 hour)</t>
  </si>
  <si>
    <t>&lt;Network Service Provider&gt;: Support Plan (response time: 1 hour)</t>
  </si>
  <si>
    <t>&lt;Software Development Partner&gt;: Support Plan (response time: 1 hour)</t>
  </si>
  <si>
    <t>List the end users of this application e.g., public, employees, partners, customers.</t>
  </si>
  <si>
    <t>Employee Users (authenticated)</t>
  </si>
  <si>
    <t>Employee Administrators (authenticated)</t>
  </si>
  <si>
    <t>Partners (authenticated)</t>
  </si>
  <si>
    <t>Customers (authenticated)</t>
  </si>
  <si>
    <t>Public (anonymous)</t>
  </si>
  <si>
    <t xml:space="preserve">Service Map templates are available from various sources online </t>
  </si>
  <si>
    <t>Application Maps in Azure Application Insights can be used to dynamically discover individual components of an application</t>
  </si>
  <si>
    <t>Use the Map feature of VM insights to understand application components</t>
  </si>
  <si>
    <t>Business Impact Analysis (example)</t>
  </si>
  <si>
    <t>A business impact analysis is a procedure to determine the criticality of an application.</t>
  </si>
  <si>
    <t>Last BIA Date</t>
  </si>
  <si>
    <t>Next BIA Date</t>
  </si>
  <si>
    <t>Impact Summary</t>
  </si>
  <si>
    <t>Downtime</t>
  </si>
  <si>
    <t>Impact Criticality</t>
  </si>
  <si>
    <t>Impact Cost</t>
  </si>
  <si>
    <t>On average 20 customers book tickets to Mars per hour. At an average cost of $50,000 per ticket, taking into account the average number of premium space suit upgrades, this equates to a loss on average of $1000,000/hour. Mars travel bookings represent more than 80% of the Mission Control business unit revenue and as such the Travel Bookings application is considered to be a unit critical application.</t>
  </si>
  <si>
    <t>$1,000,000/hour</t>
  </si>
  <si>
    <t>Required Metric Values</t>
  </si>
  <si>
    <t>Composite Service Level Objective</t>
  </si>
  <si>
    <t>Throughput Objective</t>
  </si>
  <si>
    <t>Response Objective</t>
  </si>
  <si>
    <t>500 transaction/s</t>
  </si>
  <si>
    <t>&lt;5ms</t>
  </si>
  <si>
    <t>24-hours</t>
  </si>
  <si>
    <t>Assessment History</t>
  </si>
  <si>
    <t>Approval Date</t>
  </si>
  <si>
    <t>BCDR Approver</t>
  </si>
  <si>
    <t>Approved Composite Service Level Objective</t>
  </si>
  <si>
    <t>Approved Recovery Time Objective</t>
  </si>
  <si>
    <t>Approved Recovery Point Objective</t>
  </si>
  <si>
    <t>Approved Throughput Objective</t>
  </si>
  <si>
    <t>Approved Response Objective</t>
  </si>
  <si>
    <t>Composite Service Level Achieved</t>
  </si>
  <si>
    <t>Throughput Achieved</t>
  </si>
  <si>
    <t>Response Achieved</t>
  </si>
  <si>
    <t>Test Date</t>
  </si>
  <si>
    <t>Test Record</t>
  </si>
  <si>
    <t>Dependency Test Record</t>
  </si>
  <si>
    <t>500 transactions/s</t>
  </si>
  <si>
    <t>550 transactions/s</t>
  </si>
  <si>
    <t>4.98ms</t>
  </si>
  <si>
    <t>&lt;Link&gt;</t>
  </si>
  <si>
    <t>600 transactions/s</t>
  </si>
  <si>
    <t>3.7ms</t>
  </si>
  <si>
    <t>2.6ms</t>
  </si>
  <si>
    <t>4.9ms</t>
  </si>
  <si>
    <t>5ms</t>
  </si>
  <si>
    <t>6.6ms</t>
  </si>
  <si>
    <t>Dependencies</t>
  </si>
  <si>
    <t>Name</t>
  </si>
  <si>
    <t>Type</t>
  </si>
  <si>
    <t>Meets Composite Service Level Objective</t>
  </si>
  <si>
    <t>Meets Recovery Time Objective</t>
  </si>
  <si>
    <t>Meets Recovery Point Objective</t>
  </si>
  <si>
    <t>Gap</t>
  </si>
  <si>
    <t>Dependency Criticality</t>
  </si>
  <si>
    <t>Upstream</t>
  </si>
  <si>
    <t>Azure
(Global)</t>
  </si>
  <si>
    <t>Azure Firewall</t>
  </si>
  <si>
    <t>Azure
(Australia East)</t>
  </si>
  <si>
    <t>Downstream</t>
  </si>
  <si>
    <t>On-premises</t>
  </si>
  <si>
    <t>Sample Business Impact Assessment (BIA)</t>
  </si>
  <si>
    <t>Fault Tree Analysis | Before BCDR Remediation (example)</t>
  </si>
  <si>
    <t>This sample fault tree analysis represents the fault tree before BCDR remediation. This data, along with the defined requirements, and Business Impact Analysis are the essential inputs to create a business case for Application Continuity.</t>
  </si>
  <si>
    <t>For each service, consider:</t>
  </si>
  <si>
    <t>1. The availability components that are built into the architecture.</t>
  </si>
  <si>
    <t>2. The restore capability that is provided by the architecture.</t>
  </si>
  <si>
    <t>Create a fault tree analysis diagram</t>
  </si>
  <si>
    <t>Determine the reliability score for each component using the reliability workbook</t>
  </si>
  <si>
    <t>Architecture | Resilience before Remediation | Gap Assessment (example)</t>
  </si>
  <si>
    <t>This template can be used to document the current application availability and recovery configuration (or planned configuration) by component and critical business function. The total cost of ownership (including any existing availability and recoverability components) is also calculated in this template.</t>
  </si>
  <si>
    <t>Architecture (current/as-designed)</t>
  </si>
  <si>
    <t>External dependencies</t>
  </si>
  <si>
    <t>Warehouse Inventory Management</t>
  </si>
  <si>
    <t>Order Fulfillment</t>
  </si>
  <si>
    <t>Resilience by Service</t>
  </si>
  <si>
    <t>1. The business functions that depend on the service. The highest business function criticality defines the criticality for the service within the application.</t>
  </si>
  <si>
    <t>2. Pricing Tier and any SLA consequences.</t>
  </si>
  <si>
    <t>3. The location(s) of deployment.</t>
  </si>
  <si>
    <t>4. If there is a paired region, and whether it is in the same, or a different geo-political area.</t>
  </si>
  <si>
    <t>5. The zone resilience and regional availability category for any Azure services. The purpose of this activity is to determine if the service is available in an alternative region, and whether the resilience is 'available', automatic or 'self-selected' i.e. needs to be designed to zone requirements.</t>
  </si>
  <si>
    <t>6. If there is availability zone support within the deployed region(s).</t>
  </si>
  <si>
    <t>7. The number and type of instances that are deployed or planned.</t>
  </si>
  <si>
    <t>8. Each data center in a region is assigned to a physical zone. Physical zones are mapped to the logical zones in an Azure subscription. Azure subscriptions are automatically assigned this mapping at the time a subscription is created. For any zonal service, consider co-location of services via the ARM REST API, listLocations to list the logical zone mapping.</t>
  </si>
  <si>
    <t>9. The security baseline for the service along with the Azure Defences for Ransomware Attack.</t>
  </si>
  <si>
    <t>10. If automated (re)deployment and configuration on disaster of the service is available/planned.</t>
  </si>
  <si>
    <t>11. How are Microsoft service updates managed? Are planned maintenance, that may impact the application, gracefully handled? Azure Service Health, Resource Health, notifications, change and release management process.</t>
  </si>
  <si>
    <t>12. How are Application updates managed? Are pre-production environments, instances or deployment slots used for validation?</t>
  </si>
  <si>
    <t>13. Availability details (e.g., redundant instances) against SLA and requirements.</t>
  </si>
  <si>
    <t>14. Recovery details (e.g., scheduled backups) against SLA and requirements.</t>
  </si>
  <si>
    <t>15. If Validation and Testing activities are sufficient and meet requirements e.g., are they automated, does it test functionality as well as load and capacity, are test plans documented, do results enter a feedback and improvement loop with awareness for key stakeholders?</t>
  </si>
  <si>
    <t>16. If the service is currently supported by Azure Chaos Studio by checking the Fault and Action library.</t>
  </si>
  <si>
    <t>17. Calculate the Total Cost of Ownership including the licensing, consumption and support cost of each service with any existing availability, recoverability, chaos engineering, load testing and the cost of continuity drills separated out.</t>
  </si>
  <si>
    <t>Not applicable, Not required, or Not in-scope</t>
  </si>
  <si>
    <t>Requirement Not Met</t>
  </si>
  <si>
    <t>Requirement Partially Met</t>
  </si>
  <si>
    <t>Requirement Met</t>
  </si>
  <si>
    <r>
      <t xml:space="preserve">Categories </t>
    </r>
    <r>
      <rPr>
        <b/>
        <vertAlign val="superscript"/>
        <sz val="11"/>
        <rFont val="Calibri"/>
        <family val="2"/>
        <scheme val="minor"/>
      </rPr>
      <t>4</t>
    </r>
  </si>
  <si>
    <r>
      <t xml:space="preserve">Requirements </t>
    </r>
    <r>
      <rPr>
        <vertAlign val="superscript"/>
        <sz val="11"/>
        <rFont val="Calibri"/>
        <family val="2"/>
        <scheme val="minor"/>
      </rPr>
      <t>4</t>
    </r>
  </si>
  <si>
    <t>Consideration</t>
  </si>
  <si>
    <t>Azure AD</t>
  </si>
  <si>
    <t>Azure DNS (Public)</t>
  </si>
  <si>
    <t>Cosmos DB (NoSQL)</t>
  </si>
  <si>
    <t>Status</t>
  </si>
  <si>
    <t>Gap Analysis</t>
  </si>
  <si>
    <t>Dependent Business Functions (1)</t>
  </si>
  <si>
    <t>Product Catalogue	
Trip Bookings	
Online Payment Processing	
Managing Inventory	
Customer Service	
Promoting Services	
Reporting</t>
  </si>
  <si>
    <t>Product Catalogue	
Managing Inventory	
Customer Service	
Promoting Services	
Reporting</t>
  </si>
  <si>
    <t>Product Catalogue	
Managing Inventory	
Customer Service	
Promoting Services</t>
  </si>
  <si>
    <t>Managing Inventory	
Customer Service</t>
  </si>
  <si>
    <t>Managing Inventory
Customer Service
Reporting</t>
  </si>
  <si>
    <t>Managing Inventory</t>
  </si>
  <si>
    <t>Service Criticality (1)</t>
  </si>
  <si>
    <t>Pricing Tier (2)</t>
  </si>
  <si>
    <t>Premium P2</t>
  </si>
  <si>
    <t>Not applicable</t>
  </si>
  <si>
    <t>Premium V3</t>
  </si>
  <si>
    <t>Premium</t>
  </si>
  <si>
    <t>Enterprise</t>
  </si>
  <si>
    <t>Premium-Series</t>
  </si>
  <si>
    <t>Single Region</t>
  </si>
  <si>
    <t>.</t>
  </si>
  <si>
    <t>SLA (2)</t>
  </si>
  <si>
    <t>Application: 99.999%</t>
  </si>
  <si>
    <t>SLA Notes (2)</t>
  </si>
  <si>
    <t>Maximum SLA</t>
  </si>
  <si>
    <t>The SLA is supported when running on a single instance and on multiple instances, and is the maximum available SLA.</t>
  </si>
  <si>
    <t>99.99% and 99.999% are possible with increased levels of resilience.</t>
  </si>
  <si>
    <t>99.995%, 99.999% and 100% are possible with increased levels of resilience.</t>
  </si>
  <si>
    <t>99.995% and 99.999% are possible with increased levels of resilience.</t>
  </si>
  <si>
    <t>Best Possible SLA (2)</t>
  </si>
  <si>
    <t>The composite SLA for the application across all services can be improved. Consider SLA's based on business functions for further improvement.</t>
  </si>
  <si>
    <t>The business currently provides 24x7. Consider changing the support hours requirement by business function to reduce support cost.</t>
  </si>
  <si>
    <t>The application requires 8-hours. Consider RTO by business function to reduce service cost.</t>
  </si>
  <si>
    <t>The application requires 4-hours. Consider RPO by business function to reduce service cost.</t>
  </si>
  <si>
    <t>The business currently estimates 24-hours until significant impact for the application. Consider MTD by business function to better focus recovery activities.</t>
  </si>
  <si>
    <t>Goal: &lt;8-hours</t>
  </si>
  <si>
    <t>Historical Maximum Repair Time (Hours)</t>
  </si>
  <si>
    <t>ITSM data indicate that it takes more than 8 hours to remediate issues with application components on average. Consider MTTR goals related to business functions to reduce service cost and more accurately reflect business impact.</t>
  </si>
  <si>
    <t>Goal: &gt;2-months</t>
  </si>
  <si>
    <t>Historical Failure Frequency (Months)</t>
  </si>
  <si>
    <t>ITSM data indicate that there is at least 1 failure every month for 1 or more of the application components. Consider MTBF goals related to business functions to reduce service cost and more accurately reflect business impact.</t>
  </si>
  <si>
    <t>Location (3)</t>
  </si>
  <si>
    <t>Global</t>
  </si>
  <si>
    <t>Australia East</t>
  </si>
  <si>
    <t>Paired Region (4)</t>
  </si>
  <si>
    <t>Australia Southeast
(same geo-political area)</t>
  </si>
  <si>
    <r>
      <t xml:space="preserve">Service Zone Resilience (5) </t>
    </r>
    <r>
      <rPr>
        <vertAlign val="superscript"/>
        <sz val="11"/>
        <rFont val="Calibri"/>
        <family val="2"/>
        <scheme val="minor"/>
      </rPr>
      <t>2</t>
    </r>
  </si>
  <si>
    <t>Always available</t>
  </si>
  <si>
    <t>Zonal/Zone-redundant</t>
  </si>
  <si>
    <r>
      <t xml:space="preserve">Service Regional Availability (5) </t>
    </r>
    <r>
      <rPr>
        <vertAlign val="superscript"/>
        <sz val="11"/>
        <rFont val="Calibri"/>
        <family val="2"/>
        <scheme val="minor"/>
      </rPr>
      <t>2</t>
    </r>
  </si>
  <si>
    <t>Mainstream services</t>
  </si>
  <si>
    <t>Foundational services</t>
  </si>
  <si>
    <t>Availability Zone Support (6)</t>
  </si>
  <si>
    <t>Support is available in Australia East for each service.</t>
  </si>
  <si>
    <t>Instance (7)</t>
  </si>
  <si>
    <t>Single (P5MV3)</t>
  </si>
  <si>
    <t>Single (4 daily message units)</t>
  </si>
  <si>
    <t>Single (EP1)</t>
  </si>
  <si>
    <t>Single (E100)</t>
  </si>
  <si>
    <t>Single (P2, DTU, LRS Backup)</t>
  </si>
  <si>
    <t>Single-Master (standard provisioned throughput)</t>
  </si>
  <si>
    <t>Instance Count (7)</t>
  </si>
  <si>
    <t>Consider only adding additional instances where justified by the business function criticality.</t>
  </si>
  <si>
    <t>Physical Zone Map (8)</t>
  </si>
  <si>
    <t>Security Baseline (9)</t>
  </si>
  <si>
    <t>Microsoft cloud security benchmark - Identity Management</t>
  </si>
  <si>
    <t>Azure security baseline for Azure DNS</t>
  </si>
  <si>
    <t>Azure security baseline for App Service</t>
  </si>
  <si>
    <t>Azure security baseline for Service Bus</t>
  </si>
  <si>
    <t>Azure security baseline for Functions</t>
  </si>
  <si>
    <t>Azure security baseline for Azure Cache for Redis</t>
  </si>
  <si>
    <t>Azure security baseline for Azure SQL</t>
  </si>
  <si>
    <t>Azure security baseline for Azure Cosmos DB</t>
  </si>
  <si>
    <t>This information is used in the security category of this table.</t>
  </si>
  <si>
    <t>A test environment is available.</t>
  </si>
  <si>
    <t>Response Plan</t>
  </si>
  <si>
    <t>A response plan should be created for all services as part of the Mars Travel Bookings application. Consider a more specific response plan based on business functions.</t>
  </si>
  <si>
    <t>A BIA exercise was undertaken for Azure AD, Azure DNS, Warehouse Inventory Management, Order Fulfillment separately and as part of the Mars Travel bookings application. Consider a more specific response plan based on business functions.</t>
  </si>
  <si>
    <t>Roles and Responsibilities</t>
  </si>
  <si>
    <t>Roles and responsibilities should be assigned for the application.</t>
  </si>
  <si>
    <t>A fault analysis was conducted with many improvement opportunities identified. Note: External dependencies are out-of-scope for this analysis.</t>
  </si>
  <si>
    <t>Fault Tree Analysis - Opportunities</t>
  </si>
  <si>
    <r>
      <rPr>
        <b/>
        <sz val="11"/>
        <rFont val="Calibri"/>
        <family val="2"/>
        <scheme val="minor"/>
      </rPr>
      <t>Soft deletions</t>
    </r>
    <r>
      <rPr>
        <sz val="11"/>
        <rFont val="Calibri"/>
        <family val="2"/>
        <scheme val="minor"/>
      </rPr>
      <t xml:space="preserve">
By default it is possible to restore deleted users, groups, and applications in Azure AD within 30 days of deletion. After 30 days, the object is permanently deleted (hard deleted) and cannot be restored.
</t>
    </r>
    <r>
      <rPr>
        <b/>
        <sz val="11"/>
        <rFont val="Calibri"/>
        <family val="2"/>
        <scheme val="minor"/>
      </rPr>
      <t>Hard deletions</t>
    </r>
    <r>
      <rPr>
        <sz val="11"/>
        <rFont val="Calibri"/>
        <family val="2"/>
        <scheme val="minor"/>
      </rPr>
      <t xml:space="preserve">
A hard deletion is the permanent removal of an object from the Azure AD tenant. No current measures are implemented by the organization to recover from hard deletions.</t>
    </r>
  </si>
  <si>
    <t>The organization has not implemented any mechanism to protect DNS zones and records. There is also no recovery mitigation to protect against accidental or malicious deletions.</t>
  </si>
  <si>
    <t>A single instance is deployed in one region only, and was installed with no availability zone support. Note: Beginning 31 March 2025, Microsoft will no longer place Azure App Service web applications in disaster recovery mode in the event of a disaster in an Azure region. Alternative region recovery strategies such as active-active/passive is recommended.
It is possible to make on-demand custom backups or utilize automatic backups. You can restore a backup by overwriting an existing app by restoring to a new app or slot.
Automated custom scheduled backups are currently utilised for recovery.</t>
  </si>
  <si>
    <t>A single instance is deployed in one region only. For a premium tier namespace, the outage risk is spread across three physically separated facilities (availability zones), and the service has enough capacity reserves to instantly cope with the complete, catastrophic loss of a datacenter within a region.</t>
  </si>
  <si>
    <t>The service is currently deployed in a single region zone-redundant configuration.
It is possible to make on-demand custom backups or utilize automatic backups. You can restore a backup by overwriting an existing app by restoring to a new app or slot.
Automated custom scheduled backups are currently utilised for recovery.</t>
  </si>
  <si>
    <t>Dual-node replicated configuration in a single data center with automatic failover is deployed in one region only at present with no zone redundancy.
The import/export feature is not currently utilised for backup purposes.</t>
  </si>
  <si>
    <t>A single region, non zone redundant implementation is currently utilised.
By default, Azure SQL Database stores backups in geo-redundant storage blobs that are replicated to a paired region. Geo-redundancy helps protect against outages that affect backup storage in the primary region. It also allows you to restore your databases in a different region in the event of a regional outage.
LRS is currently configured. This is the least expensive storage option, but it is not recommend for applications that require resiliency to regional outages or a guarantee of high data durability.</t>
  </si>
  <si>
    <t xml:space="preserve">The current implementation is scoped to a single Azure region with availability zones.
Periodic backup within the region is currently configured. </t>
  </si>
  <si>
    <t>Out-of-scope</t>
  </si>
  <si>
    <t>A contingency plan should be created for the application. Consider contingency plans based on specific business functions.</t>
  </si>
  <si>
    <t>The application requires cyber liability insurance. Consider business function related cover.</t>
  </si>
  <si>
    <t>An outage communication plan should be created. Consider basing this on business function.</t>
  </si>
  <si>
    <t>Gap Summary</t>
  </si>
  <si>
    <t>Redundant Hybrid Connectivity</t>
  </si>
  <si>
    <t>Not required for this application.</t>
  </si>
  <si>
    <t>Multiple Geographies</t>
  </si>
  <si>
    <t>Geopolitical Area</t>
  </si>
  <si>
    <t>This application needs to be hosted within the same geopolitical area.</t>
  </si>
  <si>
    <t>Multiple Regions</t>
  </si>
  <si>
    <t>Required for some services of this application and is an identified gap.</t>
  </si>
  <si>
    <t>Service/Capacity Availability</t>
  </si>
  <si>
    <t>Each service is available with capacity in the paired region.</t>
  </si>
  <si>
    <t>No Single-Point-of-Failure</t>
  </si>
  <si>
    <t>Required for each business critical service of the application and is an identified gap.</t>
  </si>
  <si>
    <t>Within Region: Availability Zone</t>
  </si>
  <si>
    <t>Required for each service of the application and is an identified gap.</t>
  </si>
  <si>
    <t>Within Region: Availability Set</t>
  </si>
  <si>
    <t>Multiple Regions: Active-Active</t>
  </si>
  <si>
    <t>Multiple Regions: Active-Passive</t>
  </si>
  <si>
    <t>Load Balance: Across Regions</t>
  </si>
  <si>
    <t>Load Balance: Within Region</t>
  </si>
  <si>
    <t>Load Balance: Across Cloud Providers</t>
  </si>
  <si>
    <t>Load Balance: Across On-premises and Azure</t>
  </si>
  <si>
    <t>Network: Redundant Connectivity</t>
  </si>
  <si>
    <t>Network: Zone Redundant Gateways</t>
  </si>
  <si>
    <t>Proximity Placement for Latency</t>
  </si>
  <si>
    <t>Application logic was implemented to requirements.</t>
  </si>
  <si>
    <t>Backup Strategy within Region</t>
  </si>
  <si>
    <t>Identified gap.</t>
  </si>
  <si>
    <t>Backup Strategy across Regions</t>
  </si>
  <si>
    <t>Cross Zone: Backup Replication (ZRS)</t>
  </si>
  <si>
    <t>Cross Geography: Backup Replication (GRS)</t>
  </si>
  <si>
    <t>Cross Region: Restore</t>
  </si>
  <si>
    <t>Cross Region: Replication</t>
  </si>
  <si>
    <t>Snapshots</t>
  </si>
  <si>
    <t>Long Term Archive</t>
  </si>
  <si>
    <t>Backup Retention</t>
  </si>
  <si>
    <t>10-year data retention is required.</t>
  </si>
  <si>
    <t>APP090</t>
  </si>
  <si>
    <t>Deploy/Redeploy as code.</t>
  </si>
  <si>
    <t>Implemented</t>
  </si>
  <si>
    <t>APP091</t>
  </si>
  <si>
    <t>Configure as code.</t>
  </si>
  <si>
    <t>Update configuration as code.</t>
  </si>
  <si>
    <t>Update application as code.</t>
  </si>
  <si>
    <t>Use deployment slots</t>
  </si>
  <si>
    <t>Change and release management procedures are followed for configuration changes.
Deployment slots are not consistently used when deploying new production application builds.</t>
  </si>
  <si>
    <t>Not configured.</t>
  </si>
  <si>
    <t>Azure Service Health is configured with alerts and notifications for planned maintenance, health and security events.</t>
  </si>
  <si>
    <t>Not configured across all services.</t>
  </si>
  <si>
    <t>Defender for Cloud: Regulatory Compliance Monitoring</t>
  </si>
  <si>
    <t>Opportunity to improve resilience-related security configuration.</t>
  </si>
  <si>
    <r>
      <rPr>
        <b/>
        <sz val="11"/>
        <rFont val="Calibri"/>
        <family val="2"/>
        <scheme val="minor"/>
      </rPr>
      <t>Failover/Failback Test</t>
    </r>
    <r>
      <rPr>
        <sz val="11"/>
        <rFont val="Calibri"/>
        <family val="2"/>
        <scheme val="minor"/>
      </rPr>
      <t>: [Scheduled/On-demand/Ad-hoc] [Automated/Manual] steps and processes.</t>
    </r>
  </si>
  <si>
    <t>No scheduled testing is currently performed for the application or its individual services.</t>
  </si>
  <si>
    <r>
      <rPr>
        <b/>
        <sz val="11"/>
        <rFont val="Calibri"/>
        <family val="2"/>
        <scheme val="minor"/>
      </rPr>
      <t>Recovery Test</t>
    </r>
    <r>
      <rPr>
        <sz val="11"/>
        <rFont val="Calibri"/>
        <family val="2"/>
        <scheme val="minor"/>
      </rPr>
      <t>: [Scheduled/On-demand/Ad-hoc] [Automated/Manual] steps and processes.</t>
    </r>
  </si>
  <si>
    <r>
      <rPr>
        <b/>
        <sz val="11"/>
        <rFont val="Calibri"/>
        <family val="2"/>
        <scheme val="minor"/>
      </rPr>
      <t>Unit Test</t>
    </r>
    <r>
      <rPr>
        <sz val="11"/>
        <rFont val="Calibri"/>
        <family val="2"/>
        <scheme val="minor"/>
      </rPr>
      <t>: [Scheduled/On-demand/Ad-hoc] [Automated/Manual] steps and processes.</t>
    </r>
  </si>
  <si>
    <r>
      <rPr>
        <b/>
        <sz val="11"/>
        <rFont val="Calibri"/>
        <family val="2"/>
        <scheme val="minor"/>
      </rPr>
      <t>Smoke Test</t>
    </r>
    <r>
      <rPr>
        <sz val="11"/>
        <rFont val="Calibri"/>
        <family val="2"/>
        <scheme val="minor"/>
      </rPr>
      <t>: [Scheduled/On-demand/Ad-hoc] [Automated/Manual] steps and processes.</t>
    </r>
  </si>
  <si>
    <r>
      <rPr>
        <b/>
        <sz val="11"/>
        <rFont val="Calibri"/>
        <family val="2"/>
        <scheme val="minor"/>
      </rPr>
      <t>UI Test</t>
    </r>
    <r>
      <rPr>
        <sz val="11"/>
        <rFont val="Calibri"/>
        <family val="2"/>
        <scheme val="minor"/>
      </rPr>
      <t>: [Scheduled/On-demand/Ad-hoc] [Automated/Manual] steps and processes.</t>
    </r>
  </si>
  <si>
    <r>
      <rPr>
        <b/>
        <sz val="11"/>
        <rFont val="Calibri"/>
        <family val="2"/>
        <scheme val="minor"/>
      </rPr>
      <t>Load Test</t>
    </r>
    <r>
      <rPr>
        <sz val="11"/>
        <rFont val="Calibri"/>
        <family val="2"/>
        <scheme val="minor"/>
      </rPr>
      <t>: [Scheduled/On-demand/Ad-hoc] [Automated/Manual] steps and processes. Capture expected peak volumes to test scalability and performance under load. Use Azure Load Testing to generate high-scale load and obtain actionable insights to identify performance bottlenecks.</t>
    </r>
  </si>
  <si>
    <r>
      <rPr>
        <b/>
        <sz val="11"/>
        <rFont val="Calibri"/>
        <family val="2"/>
        <scheme val="minor"/>
      </rPr>
      <t>Stress Test</t>
    </r>
    <r>
      <rPr>
        <sz val="11"/>
        <rFont val="Calibri"/>
        <family val="2"/>
        <scheme val="minor"/>
      </rPr>
      <t>: [Scheduled/On-demand/Ad-hoc] [Automated/Manual] steps and processes.</t>
    </r>
  </si>
  <si>
    <r>
      <rPr>
        <b/>
        <sz val="11"/>
        <rFont val="Calibri"/>
        <family val="2"/>
        <scheme val="minor"/>
      </rPr>
      <t>Performance Test</t>
    </r>
    <r>
      <rPr>
        <sz val="11"/>
        <rFont val="Calibri"/>
        <family val="2"/>
        <scheme val="minor"/>
      </rPr>
      <t>: [Scheduled/On-demand/Ad-hoc] [Automated/Manual] steps and processes. Capture performance baselines to establish expected usage patterns. Test and validate defined latency and throughput targets per scenario and component.</t>
    </r>
  </si>
  <si>
    <r>
      <rPr>
        <b/>
        <sz val="11"/>
        <rFont val="Calibri"/>
        <family val="2"/>
        <scheme val="minor"/>
      </rPr>
      <t>Capacity Test</t>
    </r>
    <r>
      <rPr>
        <sz val="11"/>
        <rFont val="Calibri"/>
        <family val="2"/>
        <scheme val="minor"/>
      </rPr>
      <t>: [Scheduled/On-demand/Ad-hoc] [Automated/Manual] steps and processes. Calculate target data sizes and associated growth rates per scenario and component.</t>
    </r>
  </si>
  <si>
    <r>
      <rPr>
        <b/>
        <sz val="11"/>
        <rFont val="Calibri"/>
        <family val="2"/>
        <scheme val="minor"/>
      </rPr>
      <t>Chaos Test</t>
    </r>
    <r>
      <rPr>
        <sz val="11"/>
        <rFont val="Calibri"/>
        <family val="2"/>
        <scheme val="minor"/>
      </rPr>
      <t>: [Scheduled/On-demand/Ad-hoc] [Automated/Manual] steps and processes.</t>
    </r>
  </si>
  <si>
    <t>Validate all required tests. This can include any or all of Failover/Failback, recovery, Unit, Smoke, UI, Load, Stress, Performance, Chaos and Penetration testing.</t>
  </si>
  <si>
    <r>
      <rPr>
        <b/>
        <sz val="11"/>
        <rFont val="Calibri"/>
        <family val="2"/>
        <scheme val="minor"/>
      </rPr>
      <t>Production Redeployment Test</t>
    </r>
    <r>
      <rPr>
        <sz val="11"/>
        <rFont val="Calibri"/>
        <family val="2"/>
        <scheme val="minor"/>
      </rPr>
      <t>: Validate and test the time it takes to deploy an entire production environment. [Scheduled/On-demand/Ad-hoc] [Automated/Manual] steps and processes.</t>
    </r>
  </si>
  <si>
    <r>
      <rPr>
        <b/>
        <sz val="11"/>
        <rFont val="Calibri"/>
        <family val="2"/>
        <scheme val="minor"/>
      </rPr>
      <t>UAT Test</t>
    </r>
    <r>
      <rPr>
        <sz val="11"/>
        <rFont val="Calibri"/>
        <family val="2"/>
        <scheme val="minor"/>
      </rPr>
      <t>: [Scheduled/On-demand/Ad-hoc] [Automated/Manual] steps and processes.</t>
    </r>
  </si>
  <si>
    <t>Total Cost of Ownership
(USD)</t>
  </si>
  <si>
    <t>Consumption</t>
  </si>
  <si>
    <t>Cost associated with the deployment of the service, including the Labor to create infrastructure, configuration and update-as-code deployment/redeployment packages.</t>
  </si>
  <si>
    <t>Maintenance</t>
  </si>
  <si>
    <t>Continuous Validation and Testing</t>
  </si>
  <si>
    <t>Excludes load and chaos testing as they are costed separately.</t>
  </si>
  <si>
    <t>Load Testing</t>
  </si>
  <si>
    <t>Chaos Engineering</t>
  </si>
  <si>
    <t>Vendor Support</t>
  </si>
  <si>
    <t>Total</t>
  </si>
  <si>
    <t>Refer to the most recent SLA publication</t>
  </si>
  <si>
    <t>Refer to the most recent resiliency and regional availability categories</t>
  </si>
  <si>
    <t>Refer to current pricing</t>
  </si>
  <si>
    <t>Categories and requirement identifiers map back to the requirements template</t>
  </si>
  <si>
    <t>Metric Analysis | Before BCDR Remediation (example)</t>
  </si>
  <si>
    <t>This template is used to record various metrics and calculate composite scores across the metrics. The information is then presented on the Fault Tree Analysis and BCDR Dashboard.</t>
  </si>
  <si>
    <t>Year</t>
  </si>
  <si>
    <t>Leap Year</t>
  </si>
  <si>
    <t>Number of days</t>
  </si>
  <si>
    <t>Summary</t>
  </si>
  <si>
    <t>[Application | Business Function]</t>
  </si>
  <si>
    <t>Downtime/Year (Days)</t>
  </si>
  <si>
    <t>Downtime/Year (Hours)</t>
  </si>
  <si>
    <t>Downtime/Year (Minutes)</t>
  </si>
  <si>
    <t>Downtime/Month (Days)</t>
  </si>
  <si>
    <t>Downtime/Month (Hours)</t>
  </si>
  <si>
    <t>Downtime/Month (Minutes)</t>
  </si>
  <si>
    <r>
      <t xml:space="preserve">Reliability Score </t>
    </r>
    <r>
      <rPr>
        <vertAlign val="superscript"/>
        <sz val="11"/>
        <rFont val="Calibri"/>
        <family val="2"/>
        <scheme val="minor"/>
      </rPr>
      <t>1</t>
    </r>
  </si>
  <si>
    <r>
      <t xml:space="preserve">Secure Score </t>
    </r>
    <r>
      <rPr>
        <vertAlign val="superscript"/>
        <sz val="11"/>
        <rFont val="Calibri"/>
        <family val="2"/>
        <scheme val="minor"/>
      </rPr>
      <t>3 4</t>
    </r>
  </si>
  <si>
    <t>Customer Service</t>
  </si>
  <si>
    <t>Promoting Services</t>
  </si>
  <si>
    <t>Product Catalogue</t>
  </si>
  <si>
    <t>Reporting</t>
  </si>
  <si>
    <t>Online Payment Processing</t>
  </si>
  <si>
    <t>Application - All Services</t>
  </si>
  <si>
    <t>Service</t>
  </si>
  <si>
    <t>RPO (Hours)</t>
  </si>
  <si>
    <t>RTO (Hours)</t>
  </si>
  <si>
    <r>
      <t xml:space="preserve">Azure Active Directory </t>
    </r>
    <r>
      <rPr>
        <vertAlign val="superscript"/>
        <sz val="11"/>
        <rFont val="Calibri"/>
        <family val="2"/>
        <scheme val="minor"/>
      </rPr>
      <t>2</t>
    </r>
  </si>
  <si>
    <t>Core component</t>
  </si>
  <si>
    <r>
      <t xml:space="preserve">Warehouse Inventory Management (on-premises) </t>
    </r>
    <r>
      <rPr>
        <vertAlign val="superscript"/>
        <sz val="11"/>
        <rFont val="Calibri"/>
        <family val="2"/>
        <scheme val="minor"/>
      </rPr>
      <t>5</t>
    </r>
  </si>
  <si>
    <t>Dependency</t>
  </si>
  <si>
    <r>
      <t xml:space="preserve">Order Fulfillment (on-premises) </t>
    </r>
    <r>
      <rPr>
        <vertAlign val="superscript"/>
        <sz val="11"/>
        <rFont val="Calibri"/>
        <family val="2"/>
        <scheme val="minor"/>
      </rPr>
      <t>5</t>
    </r>
  </si>
  <si>
    <t>Composite</t>
  </si>
  <si>
    <t>Business Function - Trip Bookings</t>
  </si>
  <si>
    <t>Business Function - Online Payment Processing</t>
  </si>
  <si>
    <t>Business Function - Managing Inventory</t>
  </si>
  <si>
    <t>Business Function - Customer Service</t>
  </si>
  <si>
    <t>Business Function - Promoting Services</t>
  </si>
  <si>
    <t>Business Function - Reporting</t>
  </si>
  <si>
    <t>Business Function - Product Catalogue</t>
  </si>
  <si>
    <t>FTA Reliability Workbook</t>
  </si>
  <si>
    <t>The Azure AD Secure Score can be obtained from 'Azure Active Directory Identity Secure Score'</t>
  </si>
  <si>
    <t>Tracking your secure score in Microsoft Defender for Cloud</t>
  </si>
  <si>
    <t>A secure score can be calculated based on the Microsoft Defender for Cloud number of active recommendations by RESOURCE TYPE and by RESOURCE Group for the individual application components</t>
  </si>
  <si>
    <t>A reliability score can be calculated for external dependencies by analysing the systems for the total number of configuration and architectural components that can be implemented to maximize reliability versus the actual number of implemented components</t>
  </si>
  <si>
    <t>Response Plan (example)</t>
  </si>
  <si>
    <t>A response plan defines the types of disaster events, their scope of impact, along with the planned recovery response and preparation activity.</t>
  </si>
  <si>
    <t>For the application, consider:</t>
  </si>
  <si>
    <t>1. The scope of events that may affect the application continuity</t>
  </si>
  <si>
    <t>2. The response that needs to be planned for each event scope. Include details for availability, recoverability and the resources that will be involved in recovery.</t>
  </si>
  <si>
    <t>3. The preparation that the business will commit to the application.</t>
  </si>
  <si>
    <t xml:space="preserve">Causes may include natural disaster, internet, power grid, service failures, etc
	</t>
  </si>
  <si>
    <t>Causes may include human error, transfer errors, bugs and viruses, data corruption, etc</t>
  </si>
  <si>
    <t>Refer to the Contoso Risk Assessment for more information related to the types of disasters that may lead to the defined event scopes</t>
  </si>
  <si>
    <t>Disaster Event Scope and Strategy</t>
  </si>
  <si>
    <t>Architecture | Resilience after Remediation | Gap Assessment (example)</t>
  </si>
  <si>
    <t>New Services</t>
  </si>
  <si>
    <t>Azure Front Door Web Application Firewall</t>
  </si>
  <si>
    <t>Included with Azure Front Door Premium</t>
  </si>
  <si>
    <t>The composite SLA for the application across all services has been improved by implementing additional resilience. The business has considered SLA's based on business functions for further improvement and decided not to do this at the present architecture review.</t>
  </si>
  <si>
    <t>The application requires 8-hours. The RTO has been improved by implementing additional availability resilience.</t>
  </si>
  <si>
    <t>The application requires 4-hours. Additional backup options have been implemented to meet the requirements.</t>
  </si>
  <si>
    <t>Australia East
Australia Southeast</t>
  </si>
  <si>
    <t>Additional instances have been deployed to the paired region.</t>
  </si>
  <si>
    <t>2 x Single (P5MV3)</t>
  </si>
  <si>
    <t>2 x Single (4 daily message units)</t>
  </si>
  <si>
    <t>2 x Single (EP1)</t>
  </si>
  <si>
    <t>2 x Single (E100)</t>
  </si>
  <si>
    <t>2 x Single (P2, DTU, LRS Backup)</t>
  </si>
  <si>
    <t>2 x Single-Master (standard provisioned throughput)</t>
  </si>
  <si>
    <t>Azure security baseline for Azure Front Door</t>
  </si>
  <si>
    <t>Azure security baseline for Azure Web Application Firewall</t>
  </si>
  <si>
    <t>Roles and responsibilities have been assigned for the application.</t>
  </si>
  <si>
    <t>A fault analysis was conducted with improvement opportunities identified and remediated. Note: External dependencies are out-of-scope for this analysis.</t>
  </si>
  <si>
    <t>A contingency plan has been created for key business functions of the application.</t>
  </si>
  <si>
    <t>The application now has cyber liability insurance.</t>
  </si>
  <si>
    <t>An outage communication plan has been created.</t>
  </si>
  <si>
    <t>Remediation Summary</t>
  </si>
  <si>
    <t>Protecting DNS Zones and Records - Azure DNS</t>
  </si>
  <si>
    <t>Tutorial: Create a multi-region app - Azure App Service</t>
  </si>
  <si>
    <t>Azure Service Bus Geo-disaster recovery - Azure Service Bus</t>
  </si>
  <si>
    <t>Azure Functions geo-disaster recovery and reliability</t>
  </si>
  <si>
    <t>How to utilize active geo-replication in Azure Cache for Redis</t>
  </si>
  <si>
    <t>Active geo-replication - Azure SQL Database</t>
  </si>
  <si>
    <t>High availability in Azure Cosmos DB</t>
  </si>
  <si>
    <t>High availability for Azure Cache for Redis</t>
  </si>
  <si>
    <t>Recoverability best practices in Azure Active Directory - Microsoft Entra</t>
  </si>
  <si>
    <t>Import and export a domain zone file - Azure CLI - Azure DNS</t>
  </si>
  <si>
    <t>Create a script to export redis database files to a storage account.</t>
  </si>
  <si>
    <t>Automatic, geo-redundant backups - Azure SQL Database</t>
  </si>
  <si>
    <t>Continuous backup with point in time restore feature in Azure Cosmos DB</t>
  </si>
  <si>
    <t>Deployment best practices - Azure App Service</t>
  </si>
  <si>
    <t>Implement the customer-managed key option in data at rest encryption</t>
  </si>
  <si>
    <t>Azure Chaos Studio Preview fault and action library</t>
  </si>
  <si>
    <t xml:space="preserve">Azure Chaos Studio Preview fault and action library </t>
  </si>
  <si>
    <t>Load testing databases with Azure Load Testing</t>
  </si>
  <si>
    <t>Load testing for Azure App Service - Azure Load Testing</t>
  </si>
  <si>
    <t>Metric Comparison (example)</t>
  </si>
  <si>
    <t>Year:</t>
  </si>
  <si>
    <t>Leap Year:</t>
  </si>
  <si>
    <t>Number of days:</t>
  </si>
  <si>
    <t>SLA and Uptime benefits of improving BCDR</t>
  </si>
  <si>
    <t>Composite SLA</t>
  </si>
  <si>
    <t>Composite Reliability</t>
  </si>
  <si>
    <t>Composite 
Secure Score</t>
  </si>
  <si>
    <t>Before BCDR</t>
  </si>
  <si>
    <t>With BCDR</t>
  </si>
  <si>
    <t>Difference</t>
  </si>
  <si>
    <t>Improved</t>
  </si>
  <si>
    <t>Declined</t>
  </si>
  <si>
    <t>No Change</t>
  </si>
  <si>
    <t>New</t>
  </si>
  <si>
    <t>Application - All Services: Before Resilience Remediation</t>
  </si>
  <si>
    <t>Component</t>
  </si>
  <si>
    <t>Application - All Services: Resilience Remediation</t>
  </si>
  <si>
    <t>Business Function - Trip Bookings: Before Resilience Remediation</t>
  </si>
  <si>
    <t>Business Function - Trip Bookings: Resilience Remediation</t>
  </si>
  <si>
    <t>Business Function - Online Payment Processing: Before Resilience Remediation</t>
  </si>
  <si>
    <t>Business Function - Online Payment Processing: Resilience Remediation</t>
  </si>
  <si>
    <t>Business Function - Managing Inventory: Before Resilience Remediation</t>
  </si>
  <si>
    <t>Business Function - Managing Inventory: Resilience Remediation</t>
  </si>
  <si>
    <t>Business Function - Customer Service: Before Resilience Remediation</t>
  </si>
  <si>
    <t>Business Function - Customer Service: Resilience Remediation</t>
  </si>
  <si>
    <t>Business Function - Promoting Services: Before Resilience Remediation</t>
  </si>
  <si>
    <t>Business Function - Promoting Services: Resilience Remediation</t>
  </si>
  <si>
    <t>Business Function - Reporting: Before Resilience Remediation</t>
  </si>
  <si>
    <t>Business Function - Reporting: Resilience Remediation</t>
  </si>
  <si>
    <t>Business Function - Product Catalogue: Before Resilience Remediation</t>
  </si>
  <si>
    <t>Business Function - Product Catalogue: Resilience Remediation</t>
  </si>
  <si>
    <t>Cost Comparison (example)</t>
  </si>
  <si>
    <t>This template is used to compare the application cost before and after BCDR components are added.</t>
  </si>
  <si>
    <t>Application - All Services: Summary</t>
  </si>
  <si>
    <t>Cost Decrease</t>
  </si>
  <si>
    <t>Cost Increase</t>
  </si>
  <si>
    <t>Cost of improving BCDR</t>
  </si>
  <si>
    <t>Consumption (USD)</t>
  </si>
  <si>
    <t>Licensing (USD)</t>
  </si>
  <si>
    <t>Redeployment (USD)</t>
  </si>
  <si>
    <t>Maintenance (USD)</t>
  </si>
  <si>
    <t>Security (USD)</t>
  </si>
  <si>
    <t>Availability (USD)</t>
  </si>
  <si>
    <t>Recovery (USD)</t>
  </si>
  <si>
    <t>Validation and Testing Labor (USD)</t>
  </si>
  <si>
    <t>Load Testing (USD)</t>
  </si>
  <si>
    <t>Chaos Engineering (USD)</t>
  </si>
  <si>
    <t>Vendor Support (USD)</t>
  </si>
  <si>
    <t>Total (USD)</t>
  </si>
  <si>
    <t>Before Resilience</t>
  </si>
  <si>
    <t>Cost of adding Resilience</t>
  </si>
  <si>
    <t>Application - All Services: before Resilience Remediation</t>
  </si>
  <si>
    <t>Pricing Tier</t>
  </si>
  <si>
    <t>Premium-series</t>
  </si>
  <si>
    <t>Single region</t>
  </si>
  <si>
    <t>Dependency: Warehouse Inventory Management</t>
  </si>
  <si>
    <t>Dependency: Order Fulfillment</t>
  </si>
  <si>
    <t>Azure Front Door WAF</t>
  </si>
  <si>
    <t>Business Function - Trip Bookings: Summary</t>
  </si>
  <si>
    <t>Business Function - Trip Bookings: before Resilience Remediation</t>
  </si>
  <si>
    <t>Business Function - Online Payment Processing: Summary</t>
  </si>
  <si>
    <t>Business Function - Online Payment Processing: before Resilience Remediation</t>
  </si>
  <si>
    <t>Business Function - Managing Inventory: Summary</t>
  </si>
  <si>
    <t>Business Function - Managing Inventory: before Resilience Remediation</t>
  </si>
  <si>
    <t>Business Function - Customer Service: Summary</t>
  </si>
  <si>
    <t>Business Function - Customer Service: before Resilience Remediation</t>
  </si>
  <si>
    <t>Business Function - Promoting Services: Summary</t>
  </si>
  <si>
    <t>Business Function - Promoting Services: before Resilience Remediation</t>
  </si>
  <si>
    <t>Business Function - Reporting: Summary</t>
  </si>
  <si>
    <t>Business Function - Reporting: before Resilience Remediation</t>
  </si>
  <si>
    <t>Business Function - Product Catalogue: Summary</t>
  </si>
  <si>
    <t>Business Function - Product Catalogue: before Resilience Remediation</t>
  </si>
  <si>
    <t>Azure Pricing Calculator</t>
  </si>
  <si>
    <t>Fault Tree Analysis | After BCDR (example)</t>
  </si>
  <si>
    <t>This sample fault tree analysis represents the fault tree after BCDR remediation. This data, along with the defined requirements, and Business Impact Analysis are the essential inputs to create a business case for Application Continuity.</t>
  </si>
  <si>
    <t>Contingency Plan (example)</t>
  </si>
  <si>
    <t>A contingency plan defines how operations will be continued in the event that the system can not be restored back to operation.</t>
  </si>
  <si>
    <t>Criteria for invoking Contingency Plan</t>
  </si>
  <si>
    <t>Application down for more than 8 hours</t>
  </si>
  <si>
    <t>Who invokes Contingency Plan?</t>
  </si>
  <si>
    <t>System Component</t>
  </si>
  <si>
    <t>Manual Order Processing</t>
  </si>
  <si>
    <t>Customer</t>
  </si>
  <si>
    <t>A customer calls a call center to place an order.</t>
  </si>
  <si>
    <t>A call center representative confirms the customer identity by asking for personal information including name, address, date of birth, drivers license number and PIN.</t>
  </si>
  <si>
    <t>Additional call centre staff.
Availability of the backup customer record system.</t>
  </si>
  <si>
    <t>The call center representative takes down the customer’s order details such as product name, quantity, delivery address, and payment method.</t>
  </si>
  <si>
    <t>The call center representative then enters this information into a backup order management system which creates an order record.
The backup order management system sends this order record to the backup warehouse management system which manages inventory and fulfillment.</t>
  </si>
  <si>
    <t>Availability of the backup order management system.
Availability of the backup warehouse management system.</t>
  </si>
  <si>
    <t>The backup warehouse management system receives the order record and assigns it to a warehouse worker for picking and packing.
The warehouse worker confirms stock and advises the call center representative.</t>
  </si>
  <si>
    <t>The call center representative confirms the purchase order, payment and shipping information and instructs the warehouse worker to ship the order to the customer.
The warehouse worker picks the item(s) from their respective locations in the warehouse and packs them into boxes.
The packed boxes are then sent to the shipping department where they are labelled and shipped to the customer.</t>
  </si>
  <si>
    <t>Role Assignment (example)</t>
  </si>
  <si>
    <t>This template can be used to assign application and organization BCDR roles.</t>
  </si>
  <si>
    <t>Role</t>
  </si>
  <si>
    <t>Department</t>
  </si>
  <si>
    <t>Mobile</t>
  </si>
  <si>
    <t>email</t>
  </si>
  <si>
    <t>Location</t>
  </si>
  <si>
    <t>Time Zone</t>
  </si>
  <si>
    <t>Recovery Team</t>
  </si>
  <si>
    <t>Michal Rosenstein</t>
  </si>
  <si>
    <t>IT</t>
  </si>
  <si>
    <t>Mars Trip Bookings</t>
  </si>
  <si>
    <t>michalrosenstein@contoso.com</t>
  </si>
  <si>
    <t>New York, US</t>
  </si>
  <si>
    <t>UTC-5</t>
  </si>
  <si>
    <t>Team 2</t>
  </si>
  <si>
    <t>Ebere Ibeabuchi</t>
  </si>
  <si>
    <t>ebereibeabuchi@contoso.com</t>
  </si>
  <si>
    <t>Rita Tsakiris</t>
  </si>
  <si>
    <t>ritatsakiris@contoso.com</t>
  </si>
  <si>
    <t>Alexandra Voronova</t>
  </si>
  <si>
    <t>alexandravoronova@contoso.com</t>
  </si>
  <si>
    <t>NSW, AU</t>
  </si>
  <si>
    <t>UTC+11</t>
  </si>
  <si>
    <t>Felix Henderson</t>
  </si>
  <si>
    <t>felixhenderson@contoso.com</t>
  </si>
  <si>
    <t>OOF 15-23/12/2023</t>
  </si>
  <si>
    <t>Application Test Summary (example)</t>
  </si>
  <si>
    <t>This example represents an overview of the test plans that is required for the Mars Travel Booking Application</t>
  </si>
  <si>
    <t>For the Mars Travel Bookings application, consider:</t>
  </si>
  <si>
    <t>5. Consider reference resources to automate and schedule tests.</t>
  </si>
  <si>
    <t>The following tests have been defined for the application:</t>
  </si>
  <si>
    <r>
      <t xml:space="preserve">Shift </t>
    </r>
    <r>
      <rPr>
        <b/>
        <vertAlign val="superscript"/>
        <sz val="11"/>
        <color rgb="FF161616"/>
        <rFont val="Calibri"/>
        <family val="2"/>
        <scheme val="minor"/>
      </rPr>
      <t>1</t>
    </r>
  </si>
  <si>
    <r>
      <t xml:space="preserve">Test Type </t>
    </r>
    <r>
      <rPr>
        <b/>
        <vertAlign val="superscript"/>
        <sz val="11"/>
        <color rgb="FF161616"/>
        <rFont val="Calibri"/>
        <family val="2"/>
        <scheme val="minor"/>
      </rPr>
      <t>2</t>
    </r>
  </si>
  <si>
    <t>Right</t>
  </si>
  <si>
    <t>Review Plan</t>
  </si>
  <si>
    <t>6-Monthly</t>
  </si>
  <si>
    <t>Fail</t>
  </si>
  <si>
    <t>Within baseline parameters</t>
  </si>
  <si>
    <t>UAT Tester
BCDR Engineer
Business Owner</t>
  </si>
  <si>
    <t>Simulation</t>
  </si>
  <si>
    <t>Pass</t>
  </si>
  <si>
    <t xml:space="preserve">Full Scale </t>
  </si>
  <si>
    <t>Left</t>
  </si>
  <si>
    <t>Yearly</t>
  </si>
  <si>
    <t>Exceeded baseline thresholds</t>
  </si>
  <si>
    <t>Application Test Plans | Failover and Failback Test (example)</t>
  </si>
  <si>
    <t>This template is an example of a user acceptance test plan for the Mars Travel Bookings application.</t>
  </si>
  <si>
    <r>
      <t xml:space="preserve">Test Type </t>
    </r>
    <r>
      <rPr>
        <vertAlign val="superscript"/>
        <sz val="11"/>
        <color theme="1"/>
        <rFont val="Calibri"/>
        <family val="2"/>
        <scheme val="minor"/>
      </rPr>
      <t>4</t>
    </r>
  </si>
  <si>
    <t>Full Scale</t>
  </si>
  <si>
    <t>Production Impact</t>
  </si>
  <si>
    <t>Automated</t>
  </si>
  <si>
    <t>Scheduled</t>
  </si>
  <si>
    <t>Test Frequency (months)</t>
  </si>
  <si>
    <t>Last Functional Result</t>
  </si>
  <si>
    <t>This Test</t>
  </si>
  <si>
    <t>This Functional Result</t>
  </si>
  <si>
    <t>This Performance Result</t>
  </si>
  <si>
    <t xml:space="preserve">For the application, consider: </t>
  </si>
  <si>
    <r>
      <t xml:space="preserve">1. The required application test plans (refer to the business commitment to the criticality for this application). </t>
    </r>
    <r>
      <rPr>
        <vertAlign val="superscript"/>
        <sz val="11"/>
        <color theme="1"/>
        <rFont val="Calibri"/>
        <family val="2"/>
        <scheme val="minor"/>
      </rPr>
      <t>1</t>
    </r>
    <r>
      <rPr>
        <sz val="11"/>
        <color theme="1"/>
        <rFont val="Calibri"/>
        <family val="2"/>
        <scheme val="minor"/>
      </rPr>
      <t xml:space="preserve"> </t>
    </r>
  </si>
  <si>
    <r>
      <t xml:space="preserve">2. For each required test plan, develop a procedure for all defined business functions where required by the criticality assigned to the business function. Refer to the Application Service Map for more details on the business functions. </t>
    </r>
    <r>
      <rPr>
        <vertAlign val="superscript"/>
        <sz val="11"/>
        <color theme="1"/>
        <rFont val="Calibri"/>
        <family val="2"/>
        <scheme val="minor"/>
      </rPr>
      <t>2</t>
    </r>
  </si>
  <si>
    <r>
      <t xml:space="preserve">3. Additional information for test plans. </t>
    </r>
    <r>
      <rPr>
        <vertAlign val="superscript"/>
        <sz val="11"/>
        <color theme="1"/>
        <rFont val="Calibri"/>
        <family val="2"/>
        <scheme val="minor"/>
      </rPr>
      <t>3</t>
    </r>
  </si>
  <si>
    <t>Failover Test</t>
  </si>
  <si>
    <t>Reason</t>
  </si>
  <si>
    <t>Azure DNS
Azure Active Directory
Azure Front Door
App Service Plan
Service Bus
Azure Function App
SQL Database</t>
  </si>
  <si>
    <t>Criticality does not require failover testing</t>
  </si>
  <si>
    <t>Azure DNS
Azure Active Directory
Azure Front Door
App Service Plan
SQL Database</t>
  </si>
  <si>
    <t>Included in Trip Bookings failover test</t>
  </si>
  <si>
    <t>Azure DNS
Azure Active Directory
Azure Front Door
App Service Plan
Service Bus
Azure Function App
SQL Database
Azure Redis Cache
Cosmos DB</t>
  </si>
  <si>
    <t>Criticality rating does not require failover testing</t>
  </si>
  <si>
    <t>Azure DNS
Azure Active Directory
Azure Front Door
App Service Plan
Service Bus
Azure Function App
SQL Database
Cosmos DB</t>
  </si>
  <si>
    <t>Trip Bookings: Failover Procedure Overview</t>
  </si>
  <si>
    <t>App Service Failover</t>
  </si>
  <si>
    <t>Trip Bookings: Failover Procedure Detail</t>
  </si>
  <si>
    <t>Include links to automation, documents with screenshots, etc</t>
  </si>
  <si>
    <t>Trip Bookings: Failback Procedure Overview</t>
  </si>
  <si>
    <t>App Service Failback</t>
  </si>
  <si>
    <t>Trip Bookings: Failback Procedure Detail</t>
  </si>
  <si>
    <t>Business Commitment</t>
  </si>
  <si>
    <t>Application Service Map</t>
  </si>
  <si>
    <t>Application Test Plans</t>
  </si>
  <si>
    <t>App Test Plans | User Acceptance Test (example)</t>
  </si>
  <si>
    <t>Criticality does not require UAT</t>
  </si>
  <si>
    <t>Included in Trip Bookings UAT</t>
  </si>
  <si>
    <t>Criticality rating does not require UAT</t>
  </si>
  <si>
    <t>Trip Bookings: UAT Procedure Overview</t>
  </si>
  <si>
    <t>Trip Bookings: UAT Procedure Detail</t>
  </si>
  <si>
    <t>Include links to automation, documents with screenshot, etc</t>
  </si>
  <si>
    <t>Application Outage Communication Plan (example)</t>
  </si>
  <si>
    <t xml:space="preserve">This template can be used during application outages. </t>
  </si>
  <si>
    <r>
      <t xml:space="preserve">By Event Scope </t>
    </r>
    <r>
      <rPr>
        <b/>
        <vertAlign val="superscript"/>
        <sz val="14"/>
        <color theme="1"/>
        <rFont val="Calibri"/>
        <family val="2"/>
        <scheme val="minor"/>
      </rPr>
      <t>1</t>
    </r>
  </si>
  <si>
    <t>Incident Number</t>
  </si>
  <si>
    <t>Incident Description</t>
  </si>
  <si>
    <t>Who declared the outage?</t>
  </si>
  <si>
    <t>Who approves the communication?</t>
  </si>
  <si>
    <t>Who needs to be notified?</t>
  </si>
  <si>
    <t>How frequently will there be updates?</t>
  </si>
  <si>
    <t>Has the application been failed over, or is the plan to fail it over?</t>
  </si>
  <si>
    <t>Has the application contingency plan been invoked?</t>
  </si>
  <si>
    <t>Who approves the failover, failback?</t>
  </si>
  <si>
    <t>What is the scope of the communication?</t>
  </si>
  <si>
    <t>Internal stakeholders, external partner and public customer communication</t>
  </si>
  <si>
    <t>Method of communication?</t>
  </si>
  <si>
    <t>Email, Message on web, Phone contact, SMS</t>
  </si>
  <si>
    <t>Is media liaison required?</t>
  </si>
  <si>
    <t>Who will liaise with the media?</t>
  </si>
  <si>
    <t>Is insurance liaison required?</t>
  </si>
  <si>
    <t>Who will liaise with insurance?</t>
  </si>
  <si>
    <t>Azure Zone</t>
  </si>
  <si>
    <t>Azure Service Instance</t>
  </si>
  <si>
    <t>Data Integrity Issue</t>
  </si>
  <si>
    <t>Refer to the response plan for the application</t>
  </si>
  <si>
    <t>Maintain Application Continuity Plan (example)</t>
  </si>
  <si>
    <t>Example of a maintenance plan for application continuity. All documents that should be regularly reviewed and updated are listed.</t>
  </si>
  <si>
    <t>1. The documents, activities or automation artefacts that need to be reviewed on a regular basis.</t>
  </si>
  <si>
    <t>2. The frequency of review.</t>
  </si>
  <si>
    <t>3. The owner of the review process.</t>
  </si>
  <si>
    <t>4. The approver of the completed review.</t>
  </si>
  <si>
    <t>Application Artefacts</t>
  </si>
  <si>
    <t>Artefact (1)</t>
  </si>
  <si>
    <t>Frequency (2)</t>
  </si>
  <si>
    <t>Owner (3)</t>
  </si>
  <si>
    <t>Approver (4)</t>
  </si>
  <si>
    <t>Last Review</t>
  </si>
  <si>
    <t>Next Review</t>
  </si>
  <si>
    <t>Application BCDR requirements.</t>
  </si>
  <si>
    <t>Approved</t>
  </si>
  <si>
    <t>RACI and Role Assignment</t>
  </si>
  <si>
    <t>Responsibilities and assigned roles for the application.</t>
  </si>
  <si>
    <t>All technical and business information that is required to completely define the application including documentation, dependency maps, deployment details, hardware, software, clients, stakeholders, users, support contracts, etc.</t>
  </si>
  <si>
    <t>BCDR Design and TCO</t>
  </si>
  <si>
    <t>Application architecture design with BCDR components and cost.</t>
  </si>
  <si>
    <t>An analysis into the types of failures that could lead to an application outage and any redundant configuration that could avoid the outage.</t>
  </si>
  <si>
    <t>The process of defining the criticality of an application based on the impact that an outage would have on the business.</t>
  </si>
  <si>
    <t>Quarterly</t>
  </si>
  <si>
    <t>BIA | Portfolio Summary</t>
  </si>
  <si>
    <t>Application BIA entry on the BIA Application Portfolio.</t>
  </si>
  <si>
    <t>A definition of the types of disaster events and their scope of impact, along with the planned recovery response and preparation activity for the application.</t>
  </si>
  <si>
    <t>e.g., UAT, Failover/back, Recovery, Penetration, etc.</t>
  </si>
  <si>
    <t>A definition of the outage communication details by event scope.</t>
  </si>
  <si>
    <t>Business Critical Calendar</t>
  </si>
  <si>
    <t>Scheduled activity relevant to the application.</t>
  </si>
  <si>
    <t>Application updates to the BCDR dashboard.</t>
  </si>
  <si>
    <t>Multiple Application Continuity and Test Plan</t>
  </si>
  <si>
    <t>Application updates to the Multiple Application Continuity and Test Plan.</t>
  </si>
  <si>
    <t>Develop a Business Continuity Plan</t>
  </si>
  <si>
    <t>A BCP is a document that outlines how a business will continue its operations in the event of an unplanned disruption to its business critical applications.</t>
  </si>
  <si>
    <t>Industry-standard and jurisdiction-specific BCP templates are available on the internet. Consider the below items when developing a Business Continuity Plan.</t>
  </si>
  <si>
    <t>Item</t>
  </si>
  <si>
    <t>Example</t>
  </si>
  <si>
    <t>BCP-001</t>
  </si>
  <si>
    <t>Define the objectives of the disaster recovery plan.</t>
  </si>
  <si>
    <t>BCP-002</t>
  </si>
  <si>
    <t>Define the most likely types of emergencies and threats that could affect the organization and multiple applications. Include a vulnerability and risk rating to these events.</t>
  </si>
  <si>
    <t>BCP-003</t>
  </si>
  <si>
    <t>Define all critical applications and business functions that need to be recovered as soon as possible based on a Business Impact Analysis for the applications.</t>
  </si>
  <si>
    <t>BIA Portfolio</t>
  </si>
  <si>
    <t>BCP-004</t>
  </si>
  <si>
    <t>Define and test contingency plans for all applications that may need to be enacted at the same time.</t>
  </si>
  <si>
    <t>BCP-005</t>
  </si>
  <si>
    <t>Ensure that any industry or jurisdiction-specific laws and compliance requirements that may apply to the organisation's BCP are followed and documented in the BCP.</t>
  </si>
  <si>
    <t>BCP-006</t>
  </si>
  <si>
    <r>
      <t xml:space="preserve">Follow relevant industry standards for business continuity such as ISO 22301, as a best practice, or where needed  to meet compliance and regulation requirements. </t>
    </r>
    <r>
      <rPr>
        <vertAlign val="superscript"/>
        <sz val="11"/>
        <rFont val="Calibri"/>
        <family val="2"/>
        <scheme val="minor"/>
      </rPr>
      <t>2</t>
    </r>
  </si>
  <si>
    <t>BCP-007</t>
  </si>
  <si>
    <t>Define metrics including SLA, RTO, RPO and MTD for all critical applications and business functions.</t>
  </si>
  <si>
    <t>BCP-008</t>
  </si>
  <si>
    <t>Define the desired order of recovery for all critical applications and business functions. Factor any dependencies, platform and technical requirements into the application ordering. Include a timeline for any critical applications and business functions that could be recovered in parallel.</t>
  </si>
  <si>
    <t>Multiple Application Continuity</t>
  </si>
  <si>
    <t>BCP-009</t>
  </si>
  <si>
    <t>Maintain a hardware and software inventory for all critical application and business function requirements.</t>
  </si>
  <si>
    <t>BCP-010</t>
  </si>
  <si>
    <t>List all primary, secondary and disaster recovery locations and any relevant procedures that may apply to a recovery event within the physical facility.</t>
  </si>
  <si>
    <t>Locations may include:
- An Azure Region in a different geography
- On-premises locations (buildings, data centres, etc)
- Hot, warm, and cold sites.</t>
  </si>
  <si>
    <t>BCP-011</t>
  </si>
  <si>
    <t>Include media liaison details.</t>
  </si>
  <si>
    <t>Disaster Notification</t>
  </si>
  <si>
    <t>BCP-012</t>
  </si>
  <si>
    <t>Include all financial, legal and cyber insurance details.</t>
  </si>
  <si>
    <t>BCP-013</t>
  </si>
  <si>
    <t>Define a Business Impact Analysis summary dashboard or report to easily review the business impact of all applications.</t>
  </si>
  <si>
    <t>BCP-014</t>
  </si>
  <si>
    <t>Define all disaster recovery procedures in the business continuity plan.</t>
  </si>
  <si>
    <t>BCP-015</t>
  </si>
  <si>
    <t>Define all available recovery procedures for each application including procedures for restoring the entire system, continuity through built-in high availability architecture and recovery through restore mechanisms.</t>
  </si>
  <si>
    <t>BCP-016</t>
  </si>
  <si>
    <t>Consider including any building evacuation, emergency location and business recovery location information.</t>
  </si>
  <si>
    <t>BCP-017</t>
  </si>
  <si>
    <t>Profile each application that will need recovery during a disaster event. A service map is recommended.</t>
  </si>
  <si>
    <t>BCP-018</t>
  </si>
  <si>
    <t>In the event of contingency plans being required for multiple application continuity, ensure that additional staff with relevant training would be made available by the business, as may be required by reverting to a manual service.</t>
  </si>
  <si>
    <t>BCP-019</t>
  </si>
  <si>
    <t>Include all training material that is relevant to the BCP process.</t>
  </si>
  <si>
    <t>BCP-020</t>
  </si>
  <si>
    <t>Define all relevant roles and responsibilities of personnel and external contacts in the event of a disaster. Include any delegation of authority and incident response teams.</t>
  </si>
  <si>
    <t>Responsibilities may include:
- Declaring a disaster
- Contacting third party vendors and suppliers
- Liaison with customers, media, insurance, compliance authorities, etc
- Managing the crisis and recovery</t>
  </si>
  <si>
    <t>BCP-021</t>
  </si>
  <si>
    <t>Include all personnel and relevant stakeholder emergency contact information.</t>
  </si>
  <si>
    <t>BCP-022</t>
  </si>
  <si>
    <t>Define a communication plan for use with all stakeholders including staff, customers, partners, and authorities during and after a disaster.</t>
  </si>
  <si>
    <t>The disaster notification and communication plan should include individual application outage notification definitions.</t>
  </si>
  <si>
    <t>BCP-023</t>
  </si>
  <si>
    <t>Define a calendar with all critical application and business function dates tracked. Factor critical dates into multi-application recovery scenarios. Application and business function criticality to the business may be different at times.</t>
  </si>
  <si>
    <t>Calendar</t>
  </si>
  <si>
    <t>BCP-024</t>
  </si>
  <si>
    <t>Develop a dashboard for BCDR to enable stakeholders to track the BCDR status of every application.</t>
  </si>
  <si>
    <t>BCP-025</t>
  </si>
  <si>
    <t>Consider using multiple recovery teams in parallel when a business continuity plan is executed to reduce downtime and therefore the impact to the organisation.</t>
  </si>
  <si>
    <t>BCP-026</t>
  </si>
  <si>
    <t>Document and test individual application and business function continuous availability during a simulated disaster event. Include all failover and failback procedures.</t>
  </si>
  <si>
    <t>BCP-027</t>
  </si>
  <si>
    <t>Document and test the continuous availability of all critical application and business function during a simulated disaster event.</t>
  </si>
  <si>
    <t>BCP-028</t>
  </si>
  <si>
    <t>Document and test individual application and business function recovery. Include all backup and restore procedures.</t>
  </si>
  <si>
    <t>BCP-029</t>
  </si>
  <si>
    <t>Document and test the recovery of all critical applications and business functions.</t>
  </si>
  <si>
    <t>BCP-030</t>
  </si>
  <si>
    <t>Monitor all metrics during individual application and business function recovery testing.</t>
  </si>
  <si>
    <t>Including connection count, throughput, MTD, RTA, RTO, RPA, RPO, etc.</t>
  </si>
  <si>
    <t>BCP-031</t>
  </si>
  <si>
    <t>Monitor all metrics during recovery testing of all critical applications and business functions.</t>
  </si>
  <si>
    <t>BCP-032</t>
  </si>
  <si>
    <t>Monitor all metrics during individual application and business function availability testing.</t>
  </si>
  <si>
    <t>BCP-033</t>
  </si>
  <si>
    <t>Monitor all metrics during availability testing of all critical applications and business functions.</t>
  </si>
  <si>
    <t>BCP-034</t>
  </si>
  <si>
    <t>List all physical documentation and offline storage media and the remote location for the storage facility.</t>
  </si>
  <si>
    <t>BCP-035</t>
  </si>
  <si>
    <t>List sensitive data and any relevant procedures for handling during a disaster event.</t>
  </si>
  <si>
    <t>The plan should document how this sensitive data is backed up, stored and handled during a recovery procedure.</t>
  </si>
  <si>
    <t>BCP-036</t>
  </si>
  <si>
    <t>Include details of response preparedness, for example BCP drill historical results.</t>
  </si>
  <si>
    <t>Test  Summary</t>
  </si>
  <si>
    <t>A combination of the test summaries for all in-scope applications.</t>
  </si>
  <si>
    <t>BCP-037</t>
  </si>
  <si>
    <t>Define a schedule to test and maintain the BCP on a regular basis.</t>
  </si>
  <si>
    <t>The business commitment level map back to the business commitment template.</t>
  </si>
  <si>
    <t>ISO 22301:2019(en), Security and resilience — Business continuity management systems — Requirements</t>
  </si>
  <si>
    <t>Risk (example)</t>
  </si>
  <si>
    <t>The organization should define risks that are most likely to impact the business. Risk is based on the hazard being assessed and the organization's exposure to the risk.</t>
  </si>
  <si>
    <t>Contoso provides their customers with travel options to Mars.</t>
  </si>
  <si>
    <r>
      <t xml:space="preserve">Risk is equal to Hazard multiplied by Exposure multiplied by Vulnerability </t>
    </r>
    <r>
      <rPr>
        <vertAlign val="superscript"/>
        <sz val="11"/>
        <color theme="1"/>
        <rFont val="Calibri"/>
        <family val="2"/>
        <scheme val="minor"/>
      </rPr>
      <t>1</t>
    </r>
    <r>
      <rPr>
        <sz val="11"/>
        <color theme="1"/>
        <rFont val="Calibri"/>
        <family val="2"/>
        <scheme val="minor"/>
      </rPr>
      <t>. For simplification, and for the purposes of the Contoso risk assessment exercise they considered Risk to be equal to Hazard multiplied by Exposure.</t>
    </r>
  </si>
  <si>
    <t>The below represents Contoso's assessment of their risk and exposure mitigation.</t>
  </si>
  <si>
    <r>
      <rPr>
        <sz val="36"/>
        <color rgb="FFF25022"/>
        <rFont val="Calibri"/>
        <family val="2"/>
        <scheme val="minor"/>
      </rPr>
      <t>RISK</t>
    </r>
    <r>
      <rPr>
        <sz val="36"/>
        <color theme="1"/>
        <rFont val="Calibri"/>
        <family val="2"/>
        <scheme val="minor"/>
      </rPr>
      <t xml:space="preserve"> = </t>
    </r>
  </si>
  <si>
    <r>
      <t>HAZARD</t>
    </r>
    <r>
      <rPr>
        <sz val="36"/>
        <rFont val="Calibri"/>
        <family val="2"/>
        <scheme val="minor"/>
      </rPr>
      <t xml:space="preserve"> x</t>
    </r>
  </si>
  <si>
    <t>EXPOSURE</t>
  </si>
  <si>
    <t>1=Least Impact, 5=Highest Impact</t>
  </si>
  <si>
    <t>1=Least Exposure, 5=Highest Exposure</t>
  </si>
  <si>
    <t>20-25
Critical Risk</t>
  </si>
  <si>
    <t>15-19
High Risk</t>
  </si>
  <si>
    <t>8-14
Medium Risk</t>
  </si>
  <si>
    <t>1-7
Low Risk</t>
  </si>
  <si>
    <t>Hazard</t>
  </si>
  <si>
    <t>Examples</t>
  </si>
  <si>
    <t>Impact Rating</t>
  </si>
  <si>
    <t>Impact Description</t>
  </si>
  <si>
    <t>Exposure Rating</t>
  </si>
  <si>
    <t>Exposure Location, Event Scope</t>
  </si>
  <si>
    <t>Exposure Description</t>
  </si>
  <si>
    <t>Natural disasters</t>
  </si>
  <si>
    <t>Volcanic eruptions, earthquakes, hurricanes, tsunamis, floods, droughts, fires, avalanches, blizzards, cold waves, etc.</t>
  </si>
  <si>
    <t xml:space="preserve">
Damage infrastructure, disrupt communication and cause power outages.</t>
  </si>
  <si>
    <t>Earth, Region</t>
  </si>
  <si>
    <t>Critical application and infrastructure deployment in multiple geographic locations on Earth with a low frequency and predicted risk to natural disasters.</t>
  </si>
  <si>
    <t>Dust storms, Meteor impacts, Solar flares, Climate change, etc.</t>
  </si>
  <si>
    <t>Damage infrastructure, disrupt communication and cause power outages.</t>
  </si>
  <si>
    <t>Mars, Region</t>
  </si>
  <si>
    <t>Critical application and infrastructure deployment in a single geographic location on Mars. Location is frequently impacted by dust storms.</t>
  </si>
  <si>
    <t>Asteroid impacts, solar flares, space debris, etc.</t>
  </si>
  <si>
    <t>En route, Region</t>
  </si>
  <si>
    <t>Technological advancements in space craft object avoidance.</t>
  </si>
  <si>
    <t>Man-made disasters</t>
  </si>
  <si>
    <t>Terrorist attacks, cyberattacks, sabotage, vandalism, power outages, internet outages, etc.</t>
  </si>
  <si>
    <t>Compromise security, data and reputation.</t>
  </si>
  <si>
    <t>Earth, Mars, Region</t>
  </si>
  <si>
    <t>Deployment in historically stable environments.</t>
  </si>
  <si>
    <t>Political crises</t>
  </si>
  <si>
    <t>Wars, civil unrest, etc.</t>
  </si>
  <si>
    <t>Affect travel demand, supply and regulations.</t>
  </si>
  <si>
    <t>Economic crises</t>
  </si>
  <si>
    <t>Sanctions, recessions, etc.</t>
  </si>
  <si>
    <t>Earth, Global</t>
  </si>
  <si>
    <t>Insurance. Deployment in historically stable environments.</t>
  </si>
  <si>
    <t>Pandemics and health emergencies</t>
  </si>
  <si>
    <t>COVID-19, SARS, Ebola, etc.</t>
  </si>
  <si>
    <t>Health risks, travel restrictions and consumer behaviour changes.</t>
  </si>
  <si>
    <t>Earth, Mars, Global</t>
  </si>
  <si>
    <t>Low frequency of events.</t>
  </si>
  <si>
    <t>Disaster Risk | Understanding Disaster Risk (preventionweb.net)</t>
  </si>
  <si>
    <t>Tools for mainstreaming disaster risk reduction: guidance notes for development organisations | PreventionWeb</t>
  </si>
  <si>
    <t>A hazard is a process, phenomenon or human activity that may cause loss of life, injury or other health impacts, property damage, social and economic disruption or environmental degradation. Hazards may be natural, anthropogenic or socionatural in origin. - UNDRR Terminology (2017)</t>
  </si>
  <si>
    <t>Exposure is the situation of people, infrastructure, housing, production capacities and other tangible human assets located in hazard-prone areas.  - UNDRR Terminology (2017)</t>
  </si>
  <si>
    <t>Minimum Business Continuity Objective (example)</t>
  </si>
  <si>
    <t xml:space="preserve">A document that outlines how a business will continue its operations in the event of an unplanned disruption to its business critical applications. The business is recommended to determine the Minimum Business Continuity Objective (MBCO). This represents the minimum number of applications and/or business functions that need to be available, or made available before the maximum tolerable downtime (MTD) is reached in order for the business to achieve its objectives during a disruption. </t>
  </si>
  <si>
    <t>1. Applications with the same recovery order can be recovered simultaneously. Higher recovery order numbers are dependent on lower numbers. Recovery operations must be executed in order.</t>
  </si>
  <si>
    <t>2. Record the recovery options for each application.</t>
  </si>
  <si>
    <t>Record the composite business metrics, for a complete recovery ,below:</t>
  </si>
  <si>
    <t>Availability RTA</t>
  </si>
  <si>
    <t>Recoverability RTA</t>
  </si>
  <si>
    <r>
      <t xml:space="preserve">Availability </t>
    </r>
    <r>
      <rPr>
        <vertAlign val="superscript"/>
        <sz val="11"/>
        <color theme="0"/>
        <rFont val="Calibri"/>
        <family val="2"/>
        <scheme val="minor"/>
      </rPr>
      <t>1</t>
    </r>
  </si>
  <si>
    <r>
      <t xml:space="preserve">Recoverability </t>
    </r>
    <r>
      <rPr>
        <vertAlign val="superscript"/>
        <sz val="11"/>
        <color theme="0"/>
        <rFont val="Calibri"/>
        <family val="2"/>
        <scheme val="minor"/>
      </rPr>
      <t>2</t>
    </r>
  </si>
  <si>
    <t>Recovery Order (1)</t>
  </si>
  <si>
    <t>Application Name</t>
  </si>
  <si>
    <t>Environment</t>
  </si>
  <si>
    <t>Location Details</t>
  </si>
  <si>
    <t>Upstream Dependencies</t>
  </si>
  <si>
    <t>Downstream Dependencies</t>
  </si>
  <si>
    <t>Recovery Options (2)</t>
  </si>
  <si>
    <t>Origin Geography</t>
  </si>
  <si>
    <t>Restore Geography</t>
  </si>
  <si>
    <t>Failed Region(s)</t>
  </si>
  <si>
    <t>Restore Region(s)</t>
  </si>
  <si>
    <t>Redeploy Procedure</t>
  </si>
  <si>
    <t>Availability Continuity Procedure</t>
  </si>
  <si>
    <t>Recovery Procedure</t>
  </si>
  <si>
    <t>Availability RPA (Hours)</t>
  </si>
  <si>
    <t>Availability RTA (Hours)</t>
  </si>
  <si>
    <t>Recovery RPA (Hours)</t>
  </si>
  <si>
    <t>Recovery RTA (Hours)</t>
  </si>
  <si>
    <t>Test Plans and Status</t>
  </si>
  <si>
    <t>BCDR Owner</t>
  </si>
  <si>
    <t>DR Engineer</t>
  </si>
  <si>
    <t>Activation Criteria</t>
  </si>
  <si>
    <t>Activation Approver</t>
  </si>
  <si>
    <t>Recovery Completion</t>
  </si>
  <si>
    <t>Azure Platform Landing Zone</t>
  </si>
  <si>
    <t>Identity (AAD, AD)</t>
  </si>
  <si>
    <t>All services</t>
  </si>
  <si>
    <t>Redeploy
Availability
Restore</t>
  </si>
  <si>
    <t>&lt;Link to Test Plan Summary&gt;</t>
  </si>
  <si>
    <t>Team 1</t>
  </si>
  <si>
    <t>DNS</t>
  </si>
  <si>
    <t>Identity</t>
  </si>
  <si>
    <t>Mars Travel Bookings, Complaints Management, Order Fulfillment, Warehouse Inventory Management</t>
  </si>
  <si>
    <t>Recovery Services (Backup, Snapshot, Replication)</t>
  </si>
  <si>
    <t>Australia</t>
  </si>
  <si>
    <t>Ingress/Egress (Firewalls, WAF)</t>
  </si>
  <si>
    <t>Complaints Management</t>
  </si>
  <si>
    <t>Security Services (Key Management, DDoS)</t>
  </si>
  <si>
    <t>Identity, DNS, Recovery Services, Warehouse Inventory Management</t>
  </si>
  <si>
    <t>App Outage Communication</t>
  </si>
  <si>
    <t>Sydney, Pitt street Building</t>
  </si>
  <si>
    <t>Identity, DNS, Recovery Services</t>
  </si>
  <si>
    <t xml:space="preserve">Order Fulfillment </t>
  </si>
  <si>
    <t>Identity, DNS, Recovery Services, Mars Travel Bookings</t>
  </si>
  <si>
    <t>Lunar Orbit Control</t>
  </si>
  <si>
    <t>Last week of every month</t>
  </si>
  <si>
    <t>Team 3</t>
  </si>
  <si>
    <t>Public user ability to submit a complaint</t>
  </si>
  <si>
    <t>Identity, DNS, Recovery Services, Ingress/Egress</t>
  </si>
  <si>
    <t>History of complaints report</t>
  </si>
  <si>
    <t>Last day of the month</t>
  </si>
  <si>
    <t>Maximum Tolerable Downtime and Recovery Time Achieved during Testing</t>
  </si>
  <si>
    <t>Recovery Order Number</t>
  </si>
  <si>
    <t>MTD (MAX)</t>
  </si>
  <si>
    <t>MTD (MIN)</t>
  </si>
  <si>
    <t>Availability RTA (MAX)</t>
  </si>
  <si>
    <t>Availability RTA (MIN)</t>
  </si>
  <si>
    <t>Recoverability RTA (MAX)</t>
  </si>
  <si>
    <t>Recoverability RTA (MIN)</t>
  </si>
  <si>
    <r>
      <t xml:space="preserve">An </t>
    </r>
    <r>
      <rPr>
        <b/>
        <sz val="14"/>
        <rFont val="Calibri"/>
        <family val="2"/>
        <scheme val="minor"/>
      </rPr>
      <t>AVAILABILITY</t>
    </r>
    <r>
      <rPr>
        <sz val="14"/>
        <rFont val="Calibri"/>
        <family val="2"/>
        <scheme val="minor"/>
      </rPr>
      <t xml:space="preserve"> recovery for all applications, when considering simultaneous recovery execution, should take no more than:</t>
    </r>
  </si>
  <si>
    <t>Hours</t>
  </si>
  <si>
    <r>
      <t xml:space="preserve">A </t>
    </r>
    <r>
      <rPr>
        <b/>
        <sz val="14"/>
        <rFont val="Calibri"/>
        <family val="2"/>
        <scheme val="minor"/>
      </rPr>
      <t>RECOVERABILITY</t>
    </r>
    <r>
      <rPr>
        <sz val="14"/>
        <rFont val="Calibri"/>
        <family val="2"/>
        <scheme val="minor"/>
      </rPr>
      <t xml:space="preserve"> recovery for all applications, when considering simultaneous recovery execution, should take no more than:</t>
    </r>
  </si>
  <si>
    <t>Availability indicates the ability for the application to remain or become operational again during failures.</t>
  </si>
  <si>
    <t>Recoverability indicates a manual or automated process to restore the application after a failure.</t>
  </si>
  <si>
    <t>Business Critical Function Calendar (example)</t>
  </si>
  <si>
    <t>A Business Critical Function Calendar lists all critical business events for the organization. These are business activities and processes that must be restored in the event of a disruption to ensure the ability to protect the organization’s assets, meet organizational needs, and satisfy regulations. Critical dates must be considered when scheduling BCDR drills.</t>
  </si>
  <si>
    <t>Enter calendar year</t>
  </si>
  <si>
    <t>Quarter 1</t>
  </si>
  <si>
    <t>January</t>
  </si>
  <si>
    <t>February</t>
  </si>
  <si>
    <t>March</t>
  </si>
  <si>
    <t>JAN</t>
  </si>
  <si>
    <t>MON</t>
  </si>
  <si>
    <t>TUE</t>
  </si>
  <si>
    <t>WED</t>
  </si>
  <si>
    <t>THU</t>
  </si>
  <si>
    <t>FRI</t>
  </si>
  <si>
    <t>SAT</t>
  </si>
  <si>
    <t>SUN</t>
  </si>
  <si>
    <t>Day of the week</t>
  </si>
  <si>
    <t>Calendar day</t>
  </si>
  <si>
    <t>Events</t>
  </si>
  <si>
    <t>Trip Scheduler: Monthly Pricing Update</t>
  </si>
  <si>
    <t>LZ: ExpressRoute to S2S Backup Failover Test</t>
  </si>
  <si>
    <t>Trip Scheduler: Mars in March! Go Red Sales</t>
  </si>
  <si>
    <t>Trip Scheduler: BCDR Drill - Failover</t>
  </si>
  <si>
    <t>Trip Scheduler: Feb Mars Departures</t>
  </si>
  <si>
    <t>Trip Scheduler: Red Mars March Manoeuvres</t>
  </si>
  <si>
    <t>Trip Scheduler: Jan Mars Departures</t>
  </si>
  <si>
    <t>Don't schedule anything!</t>
  </si>
  <si>
    <t>Trip Scheduler: BCDR Drill - Failback</t>
  </si>
  <si>
    <t>FEB</t>
  </si>
  <si>
    <t>Mission Control: Mars departures</t>
  </si>
  <si>
    <t>Trip Scheduler: Fabulous February Sales</t>
  </si>
  <si>
    <t>Payday: Payroll Processing</t>
  </si>
  <si>
    <t>Payday: Payroll Batch Updates</t>
  </si>
  <si>
    <t>MAR</t>
  </si>
  <si>
    <t>Review Organization BCDR Framework</t>
  </si>
  <si>
    <t>Quarterly Quell</t>
  </si>
  <si>
    <t>Quarter 2</t>
  </si>
  <si>
    <t>April</t>
  </si>
  <si>
    <t>May</t>
  </si>
  <si>
    <t>June</t>
  </si>
  <si>
    <t>APR</t>
  </si>
  <si>
    <t>Autumn Apps Clean</t>
  </si>
  <si>
    <t>MAY</t>
  </si>
  <si>
    <t>Trip Scheduler: Marvelous May Sales</t>
  </si>
  <si>
    <t>Trip Scheduler: May Day Sales</t>
  </si>
  <si>
    <t>JUN</t>
  </si>
  <si>
    <t>Quarter 3</t>
  </si>
  <si>
    <t>July</t>
  </si>
  <si>
    <t>August</t>
  </si>
  <si>
    <t>September</t>
  </si>
  <si>
    <t>JUL</t>
  </si>
  <si>
    <t>AUG</t>
  </si>
  <si>
    <t>Trip Scheduler: Awesome August Sales</t>
  </si>
  <si>
    <t>SEP</t>
  </si>
  <si>
    <t>Quarter 4</t>
  </si>
  <si>
    <t>October</t>
  </si>
  <si>
    <t>November</t>
  </si>
  <si>
    <t>December</t>
  </si>
  <si>
    <t>OCT</t>
  </si>
  <si>
    <t>Holiday Period Change Freeze</t>
  </si>
  <si>
    <t>NOV</t>
  </si>
  <si>
    <t>Trip Scheduler: Notable November Sales</t>
  </si>
  <si>
    <t>DEC</t>
  </si>
  <si>
    <t>Consider adding Azure Planned Maintenance events to the calendar</t>
  </si>
  <si>
    <t>Business Impact Analysis | Application Portfolio Summary (example)</t>
  </si>
  <si>
    <t>A business impact analysis is a procedure to determine the criticality of an application. This page represents a summary of the impact analysis across business applications.</t>
  </si>
  <si>
    <t>Top [nn] Applications</t>
  </si>
  <si>
    <t>Region (Primary)</t>
  </si>
  <si>
    <t>Region (Secondary)</t>
  </si>
  <si>
    <t>Region (Tertiary)</t>
  </si>
  <si>
    <t>Impact $ Estimate</t>
  </si>
  <si>
    <t>Details</t>
  </si>
  <si>
    <t>Australia Southeast</t>
  </si>
  <si>
    <t>Reputational damage.</t>
  </si>
  <si>
    <t>Not having backups could have potentially devastating effects on business operations and integrity. From reputational damage to downtime and lack of productivity, data privacy and compliance issues to loss of customer trust and loyalty. With no backups, the business is vulnerable to viruses and hackers. The possibility of negligence, rogue employees, defective hardware, and natural disasters must be considered when evaluating the criticality of the backup infrastructure.</t>
  </si>
  <si>
    <t xml:space="preserve"> It can lead to a loss of data, unauthorized access to sensitive information, and other security breaches that can have a negative impact on the business’s reputation and financial stability.</t>
  </si>
  <si>
    <t>HR</t>
  </si>
  <si>
    <t>Customer satisfaction</t>
  </si>
  <si>
    <t>Fines up to greater of 50k penalty units, three times the benefit obtained and detriment avoided or 10% of annual turnover.</t>
  </si>
  <si>
    <t>Azure and
On-premises</t>
  </si>
  <si>
    <t>Loss or damage of vessels. Loss of life or injury.</t>
  </si>
  <si>
    <t>Orbit control is a critical service. An outage may lead to the loss of space vessels and the loss of life.</t>
  </si>
  <si>
    <t>The impact of Azure AD being unavailable can be significant for the business as most applications rely on it for identity and access management. It can lead to a loss of productivity, unauthorized access to sensitive information, and other security breaches that can have a negative impact on the business’s reputation and financial stability.</t>
  </si>
  <si>
    <t>Trip Scheduler</t>
  </si>
  <si>
    <t>Mars travel bookings</t>
  </si>
  <si>
    <t>$100k/Hour</t>
  </si>
  <si>
    <t>On average 20 customers book tickets to Mars per hour. At an average cost of $5,000 per ticket, taking into account the average number of premium space suit upgrades, this equates to a loss on average of $100,000/hour. Mars travel bookings represent more than 80% of the Mission Control business unit revenue and as such the Trip Scheduler application is considered to be a unit critical application.</t>
  </si>
  <si>
    <t>Reputational damage.
Financial
Security</t>
  </si>
  <si>
    <t>Order Inventory System</t>
  </si>
  <si>
    <t>Manage and track inventory levels, orders, sales, and deliveries for gift shop</t>
  </si>
  <si>
    <t>Warehouse</t>
  </si>
  <si>
    <t>Social Club Events</t>
  </si>
  <si>
    <t>Employee morale</t>
  </si>
  <si>
    <t>Business Continuity and Disaster Recovery Dashboard (example)</t>
  </si>
  <si>
    <t>The Business Continuity and Disaster Recovery dashboard captures all relevant application architecture, requirements, processes, plans, policies, test schedules, metrics, current and historical status to help you recover or remain operational in the case of a disaster.</t>
  </si>
  <si>
    <t>Networking (DNS, VNET with Critical Tags)</t>
  </si>
  <si>
    <t>Security (Posture Management)</t>
  </si>
  <si>
    <t>$100,000/hour</t>
  </si>
  <si>
    <t>On average 20 customers book tickets to Mars per hour. At an average cost of $5,000 per ticket, taking into account the average number of premium space suit upgrades, this equates to a loss on average of $100,000/hour. Mars travel bookings represent more than 80% of the Mission Control business unit revenue and therefore the Trip Scheduler application is considered to be a unit critical application.</t>
  </si>
  <si>
    <t>Criticality Tier</t>
  </si>
  <si>
    <t>Criticality Classification</t>
  </si>
  <si>
    <t>&lt;TBA&gt;</t>
  </si>
  <si>
    <t>Lifecycle</t>
  </si>
  <si>
    <t>Generally Available</t>
  </si>
  <si>
    <t>Production</t>
  </si>
  <si>
    <t>BCDR Assessment Frequency</t>
  </si>
  <si>
    <t>Last Assessment</t>
  </si>
  <si>
    <t>Next Assessment</t>
  </si>
  <si>
    <t>Current Assessment</t>
  </si>
  <si>
    <t>Rejected</t>
  </si>
  <si>
    <t>Upstream Application Dependencies</t>
  </si>
  <si>
    <t>&lt;TBD&gt;</t>
  </si>
  <si>
    <t>Downstream Application Dependencies</t>
  </si>
  <si>
    <t>BCDR Interview</t>
  </si>
  <si>
    <t>Architecture Repository</t>
  </si>
  <si>
    <t>AdventureWorks Enterprise-Scale (github.com)</t>
  </si>
  <si>
    <t>Highly available multi-region web app - Azure Architecture Center | Microsoft Learn</t>
  </si>
  <si>
    <t>Highly available zone-redundant web application - Azure Architecture Center | Microsoft Learn</t>
  </si>
  <si>
    <t>Scalable web application - Azure Reference Architectures | Microsoft Learn</t>
  </si>
  <si>
    <t>Fault Tree Analysis (FTA)</t>
  </si>
  <si>
    <t>Compliance Standard</t>
  </si>
  <si>
    <t>PCI DSS, SOC2, MCSB</t>
  </si>
  <si>
    <t>ISO</t>
  </si>
  <si>
    <t>FedRAMP</t>
  </si>
  <si>
    <t>SOC</t>
  </si>
  <si>
    <t>PCI</t>
  </si>
  <si>
    <t>CIS</t>
  </si>
  <si>
    <t>Defender for Cloud: Regulatory Compliance Monitored</t>
  </si>
  <si>
    <t>Availability SLA</t>
  </si>
  <si>
    <t>Maximum Downtime (Per Year)</t>
  </si>
  <si>
    <t>52m 9.8s</t>
  </si>
  <si>
    <t>4h 20m 49s</t>
  </si>
  <si>
    <t>3d 14h 56m 18s</t>
  </si>
  <si>
    <t>30Gbps</t>
  </si>
  <si>
    <t>5000 transactions/s</t>
  </si>
  <si>
    <t>5-minute</t>
  </si>
  <si>
    <t>30-minute</t>
  </si>
  <si>
    <t>4-hour</t>
  </si>
  <si>
    <t>1-hour</t>
  </si>
  <si>
    <t>24-hour</t>
  </si>
  <si>
    <t>2-hours</t>
  </si>
  <si>
    <t>72-hour</t>
  </si>
  <si>
    <t>8-hour</t>
  </si>
  <si>
    <t>12-hour</t>
  </si>
  <si>
    <t>5-days</t>
  </si>
  <si>
    <t>Availability Strategy</t>
  </si>
  <si>
    <t>Cross Region
Active/Active</t>
  </si>
  <si>
    <t>Cross Region
Active/Passive</t>
  </si>
  <si>
    <t>Cross Availability Zone
Active/Passive</t>
  </si>
  <si>
    <t>Cross Availability Zone
Active/Active</t>
  </si>
  <si>
    <t>Within Region
Availability Set</t>
  </si>
  <si>
    <t>Within Region
Auto Scale</t>
  </si>
  <si>
    <t>Availability Plan</t>
  </si>
  <si>
    <t>&lt;availability plan link&gt;</t>
  </si>
  <si>
    <t>Availability Automation</t>
  </si>
  <si>
    <t>Recovery Strategy</t>
  </si>
  <si>
    <t>Cross Region</t>
  </si>
  <si>
    <t>Local Restore</t>
  </si>
  <si>
    <t>Redeploy</t>
  </si>
  <si>
    <t>Recovery Plan</t>
  </si>
  <si>
    <t>&lt;recovery plan link&gt;</t>
  </si>
  <si>
    <t>Recovery Automation</t>
  </si>
  <si>
    <t>Manual</t>
  </si>
  <si>
    <t>Ransomware Plan</t>
  </si>
  <si>
    <t>&lt;strategy link&gt;</t>
  </si>
  <si>
    <t>&lt;policy details/link&gt;</t>
  </si>
  <si>
    <t>BCDR Cost Analysis</t>
  </si>
  <si>
    <t>&lt;link to cost analysis&gt;</t>
  </si>
  <si>
    <t>Composite SLA (calculated)</t>
  </si>
  <si>
    <t>Throughput achieved</t>
  </si>
  <si>
    <t>30 Gbps</t>
  </si>
  <si>
    <t>Response achieved</t>
  </si>
  <si>
    <t>4.5ms</t>
  </si>
  <si>
    <t>30-minutes</t>
  </si>
  <si>
    <t>Availability test frequency</t>
  </si>
  <si>
    <t>Bi-monthly</t>
  </si>
  <si>
    <t>Recoverability test frequency</t>
  </si>
  <si>
    <t>Redeployment test frequency</t>
  </si>
  <si>
    <t>Last redeployment test</t>
  </si>
  <si>
    <t>Last availability test</t>
  </si>
  <si>
    <t>Last recovery test</t>
  </si>
  <si>
    <t>Next availability test</t>
  </si>
  <si>
    <t>Next recovery test</t>
  </si>
  <si>
    <t>Downtime
(recorded in past year)</t>
  </si>
  <si>
    <t>Composite SLA
(achieved past year)</t>
  </si>
  <si>
    <t>BCDR Program Status</t>
  </si>
  <si>
    <t>No ransomware strategy. Architecture needs upgrade to improve availability and recoverability strategy.</t>
  </si>
  <si>
    <t>Not PCI DSS compliant</t>
  </si>
  <si>
    <t>Business continuity management program in Azure</t>
  </si>
  <si>
    <t>Maintain Business Continuity Plan (example)</t>
  </si>
  <si>
    <t>Example of a maintenance plan for business continuity. All documents that should be regularly reviewed and updated are listed.</t>
  </si>
  <si>
    <t>For the business, consider:</t>
  </si>
  <si>
    <t>BCP Artefacts</t>
  </si>
  <si>
    <t>All stakeholders review the plan. The components that require regular update may include contact information, metric updates from test results, vendor contracts, and training material for new members of the BCDR team.</t>
  </si>
  <si>
    <t>Risk Assessment</t>
  </si>
  <si>
    <t>The organization should review the most likely types of emergencies and threats that could affect multiple applications and the business.</t>
  </si>
  <si>
    <t>Multiple Application Continuity Plan</t>
  </si>
  <si>
    <t>Business Impact Analysis Summary</t>
  </si>
  <si>
    <t>All artefacts for in-scope applications</t>
  </si>
  <si>
    <t>Refer to the maintaining application continuity list for each application.</t>
  </si>
  <si>
    <t>Reference</t>
  </si>
  <si>
    <t>Worksheet</t>
  </si>
  <si>
    <t>Journey</t>
  </si>
  <si>
    <t>Azure Load Balancing</t>
  </si>
  <si>
    <t>Journey, Architecture , Architecture BCDR Design</t>
  </si>
  <si>
    <t>Azure Reliability - Reliability by Service</t>
  </si>
  <si>
    <t>Cloud Adoption Framework - Reliability by Service</t>
  </si>
  <si>
    <t>Reliability Tradeoff vs. Cost</t>
  </si>
  <si>
    <t>Reliability Tradeoff vs. Performance</t>
  </si>
  <si>
    <t>Reliability Tradeoff vs. Security</t>
  </si>
  <si>
    <t>Criticality, Commitment-Blueprints</t>
  </si>
  <si>
    <t>Commitment-Blueprints</t>
  </si>
  <si>
    <t>RACI, Role Assignment</t>
  </si>
  <si>
    <t>Requirements, App Requirements, Develop BCP</t>
  </si>
  <si>
    <t>Requirements, App Requirements</t>
  </si>
  <si>
    <t>Test Plans, Test Summary</t>
  </si>
  <si>
    <t>BIA, BIA | Portfolio Summary</t>
  </si>
  <si>
    <t>Fault Tree Analysis (-BCDR), Fault Tree Analysis (+BCDR)</t>
  </si>
  <si>
    <t>Architecture Gap, Architecture BCDR Design</t>
  </si>
  <si>
    <t>Architecture Gap, Architecture BCDR Design, Cost Comparison</t>
  </si>
  <si>
    <t>Metric Analysis (-BCDR), Metric Analysis (+BCDR)</t>
  </si>
  <si>
    <t>Develop BCP</t>
  </si>
  <si>
    <t>Data Validation Tables</t>
  </si>
  <si>
    <t>High availability</t>
  </si>
  <si>
    <t>Failover response</t>
  </si>
  <si>
    <t>Business view</t>
  </si>
  <si>
    <t>N+1</t>
  </si>
  <si>
    <t>1. Prepare for BCDR</t>
  </si>
  <si>
    <t>N/A</t>
  </si>
  <si>
    <t>2. Assess Application</t>
  </si>
  <si>
    <t>In heavily regulated industries, some workloads might be critical as part of an effort to maintain compliance requirements.</t>
  </si>
  <si>
    <t>3. Develop BCDR Plan</t>
  </si>
  <si>
    <t>4. Implement BCDR</t>
  </si>
  <si>
    <t xml:space="preserve">	Impact on business processes isn't measurable. Neither brand damage nor upstream losses are likely. Localized impact on a single team is likely.</t>
  </si>
  <si>
    <t>All requirements met</t>
  </si>
  <si>
    <t>5. Test BCDR Plan</t>
  </si>
  <si>
    <t>Some requirements met</t>
  </si>
  <si>
    <t>6. Maintain BCDR Plan</t>
  </si>
  <si>
    <t>No requirements met</t>
  </si>
  <si>
    <t>7. BCP (multiple applications)</t>
  </si>
  <si>
    <t>When lives or the physical safety of employees and customers is at risk during an outage, it can be wise to classify workloads as safety-critical.</t>
  </si>
  <si>
    <t>Some workloads might not be mission critical, but outages could result in loss of data or unintended access to protected information.</t>
  </si>
  <si>
    <t>Microsoft Logo</t>
  </si>
  <si>
    <t>No business owner, team, or process that's associated with this workload can justify any investment in the ongoing management of the workload.</t>
  </si>
  <si>
    <t>Red: 242 Green: 80 Blue: 34</t>
  </si>
  <si>
    <t>Red: 127 Green: 186 Blue: 0</t>
  </si>
  <si>
    <t>Daily</t>
  </si>
  <si>
    <t>Resiliency</t>
  </si>
  <si>
    <t>Red: 0 Green: 164 Blue: 239</t>
  </si>
  <si>
    <t>Weekly</t>
  </si>
  <si>
    <t>Always available across all Azure geographies and are resilient to zone-wide outages and region-wide outages.</t>
  </si>
  <si>
    <t>Red: 255 Green: 185 Blue: 0</t>
  </si>
  <si>
    <t>Fortnightly</t>
  </si>
  <si>
    <t>Zonal</t>
  </si>
  <si>
    <r>
      <t xml:space="preserve">A resource can be deployed to a specific, </t>
    </r>
    <r>
      <rPr>
        <b/>
        <sz val="11"/>
        <rFont val="Calibri"/>
        <family val="2"/>
        <scheme val="minor"/>
      </rPr>
      <t>self-selected availability zone</t>
    </r>
    <r>
      <rPr>
        <sz val="11"/>
        <rFont val="Calibri"/>
        <family val="2"/>
        <scheme val="minor"/>
      </rPr>
      <t xml:space="preserve"> to achieve more stringent latency or performance requirements. Resiliency is self-architected by replicating applications and data to one or more zones within the region. Resources are aligned to a selected zone. For example, virtual machines, managed disks, or standard IP addresses can be aligned to the same zone, which allows for increased resiliency by having multiple instances of resources deployed to different zones.</t>
    </r>
  </si>
  <si>
    <t>Red: 116 Green: 116 Blue: 116</t>
  </si>
  <si>
    <t>Monthly</t>
  </si>
  <si>
    <r>
      <t xml:space="preserve">Resources are replicated or </t>
    </r>
    <r>
      <rPr>
        <b/>
        <sz val="11"/>
        <rFont val="Calibri"/>
        <family val="2"/>
        <scheme val="minor"/>
      </rPr>
      <t>distributed across zones automatically</t>
    </r>
    <r>
      <rPr>
        <sz val="11"/>
        <rFont val="Calibri"/>
        <family val="2"/>
        <scheme val="minor"/>
      </rPr>
      <t>. For example, zone-redundant services replicate the data across multiple zones so that a failure in one zone doesn't affect the high availability of the data. </t>
    </r>
  </si>
  <si>
    <t>Application Lifecycle</t>
  </si>
  <si>
    <t>Requirement</t>
  </si>
  <si>
    <t>Not an Azure service, or not a categorised service.</t>
  </si>
  <si>
    <t>Pre-alpha</t>
  </si>
  <si>
    <t>Within Region
Manual Scale</t>
  </si>
  <si>
    <t>Met</t>
  </si>
  <si>
    <t>Alpha</t>
  </si>
  <si>
    <t>Not Met</t>
  </si>
  <si>
    <t>Regional Category</t>
  </si>
  <si>
    <t>Beta</t>
  </si>
  <si>
    <t>Release Candidate</t>
  </si>
  <si>
    <t>Test Result</t>
  </si>
  <si>
    <t>Available in all recommended and alternate regions when a region is generally available, or within 90 days of a new foundational service becoming generally available.</t>
  </si>
  <si>
    <t>Assessment</t>
  </si>
  <si>
    <t>Cloud Model</t>
  </si>
  <si>
    <t>Available in all recommended regions within 90 days of a region's general availability. Mainstream services are demand-driven in alternate regions, and many are already deployed into a large subset of alternate regions.</t>
  </si>
  <si>
    <t>Deprecated</t>
  </si>
  <si>
    <t>Not specific to a cloud model</t>
  </si>
  <si>
    <t>Strategic services</t>
  </si>
  <si>
    <t>Targeted service offerings, often industry-focused or backed by customized hardware. Strategic services are demand-driven for availability across regions, and many are already deployed into a large subset of recommended regions.</t>
  </si>
  <si>
    <t>Decommissioned</t>
  </si>
  <si>
    <t>Infrastructure as a Service (IaaS)</t>
  </si>
  <si>
    <t>Platform as a Service (PaaS)</t>
  </si>
  <si>
    <t>Software as a Service (SaaS)</t>
  </si>
  <si>
    <t>Shift</t>
  </si>
  <si>
    <t>Development</t>
  </si>
  <si>
    <t>These scenarios can use a development or shared test environment. You can do shift-left scenarios without any real customer traffic.</t>
  </si>
  <si>
    <t>Test</t>
  </si>
  <si>
    <t>These scenarios use a production or preproduction environment. Usually, you do shift-right scenarios with real customer traffic or simulated load.</t>
  </si>
  <si>
    <t>Test Type</t>
  </si>
  <si>
    <t>A system outage is scheduled. A disaster event is simulated with all stakeholders present. All recovery activities are carried out with required changes to production systems.</t>
  </si>
  <si>
    <t>No business disruption. The plan is reviewed by all stakeholders.</t>
  </si>
  <si>
    <t>No business disruption. A disaster event is simulated with all stakeholders present. All recovery activities are rehearsed without any changes to production systems.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</si>
</sst>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4">
    <numFmt numFmtId="164" formatCode="&quot;$&quot;#,##0;[Red]\-&quot;$&quot;#,##0"/>
    <numFmt numFmtId="165" formatCode="_-&quot;$&quot;* #,##0.00_-;\-&quot;$&quot;* #,##0.00_-;_-&quot;$&quot;* &quot;-&quot;??_-;_-@_-"/>
    <numFmt numFmtId="166" formatCode="0.000%"/>
    <numFmt numFmtId="167" formatCode="[$-C09]dd\-mmm\-yy;@"/>
    <numFmt numFmtId="168" formatCode="[$-C09]dddd\,\ d\ mmmm\ yyyy;@"/>
    <numFmt numFmtId="169" formatCode="[$-F800]dddd\,\ mmmm\ dd\,\ yyyy"/>
    <numFmt numFmtId="170" formatCode="[$-C09]dd\-mmmm\-yyyy;@"/>
    <numFmt numFmtId="171" formatCode="0.000"/>
    <numFmt numFmtId="172" formatCode="d"/>
    <numFmt numFmtId="173" formatCode="&quot;$&quot;#,##0.00"/>
    <numFmt numFmtId="174" formatCode="&quot;$&quot;#,##0"/>
    <numFmt numFmtId="175" formatCode="0.0000%"/>
    <numFmt numFmtId="176" formatCode="0.0%"/>
    <numFmt numFmtId="177" formatCode="0.0"/>
  </numFmts>
  <fonts count="70">
    <font>
      <sz val="11"/>
      <color theme="1"/>
      <name val="Calibri"/>
      <family val="2"/>
      <scheme val="minor"/>
    </font>
    <font>
      <sz val="8"/>
      <name val="Calibri"/>
      <family val="2"/>
      <scheme val="minor"/>
    </font>
    <font>
      <u/>
      <sz val="11"/>
      <color theme="10"/>
      <name val="Calibri"/>
      <family val="2"/>
      <scheme val="minor"/>
    </font>
    <font>
      <b/>
      <sz val="15"/>
      <color theme="3"/>
      <name val="Calibri"/>
      <family val="2"/>
      <scheme val="minor"/>
    </font>
    <font>
      <sz val="11"/>
      <color theme="0"/>
      <name val="Calibri"/>
      <family val="2"/>
      <scheme val="minor"/>
    </font>
    <font>
      <sz val="16"/>
      <color theme="0"/>
      <name val="Calibri"/>
      <family val="2"/>
      <scheme val="minor"/>
    </font>
    <font>
      <sz val="16"/>
      <color theme="1"/>
      <name val="Calibri"/>
      <family val="2"/>
      <scheme val="minor"/>
    </font>
    <font>
      <sz val="11"/>
      <color rgb="FFF25022"/>
      <name val="Calibri"/>
      <family val="2"/>
      <scheme val="minor"/>
    </font>
    <font>
      <b/>
      <sz val="11"/>
      <color theme="1"/>
      <name val="Calibri"/>
      <family val="2"/>
      <scheme val="minor"/>
    </font>
    <font>
      <sz val="11"/>
      <color theme="1"/>
      <name val="Calibri"/>
      <family val="2"/>
      <scheme val="minor"/>
    </font>
    <font>
      <sz val="11"/>
      <color theme="6" tint="-0.249977111117893"/>
      <name val="Calibri"/>
      <family val="2"/>
      <scheme val="minor"/>
    </font>
    <font>
      <sz val="11"/>
      <name val="Calibri"/>
      <family val="2"/>
      <scheme val="minor"/>
    </font>
    <font>
      <sz val="11"/>
      <color rgb="FF000000"/>
      <name val="Calibri"/>
      <family val="2"/>
      <scheme val="minor"/>
    </font>
    <font>
      <sz val="16"/>
      <color rgb="FFF25022"/>
      <name val="Calibri"/>
      <family val="2"/>
      <scheme val="minor"/>
    </font>
    <font>
      <sz val="11"/>
      <color rgb="FFFF0000"/>
      <name val="Calibri"/>
      <family val="2"/>
      <scheme val="minor"/>
    </font>
    <font>
      <i/>
      <sz val="11"/>
      <color theme="1"/>
      <name val="Calibri"/>
      <family val="2"/>
      <scheme val="minor"/>
    </font>
    <font>
      <sz val="14"/>
      <color rgb="FFF25022"/>
      <name val="Calibri"/>
      <family val="2"/>
      <scheme val="minor"/>
    </font>
    <font>
      <b/>
      <sz val="11"/>
      <color theme="4" tint="-0.499984740745262"/>
      <name val="Calibri"/>
      <family val="2"/>
      <scheme val="minor"/>
    </font>
    <font>
      <sz val="12"/>
      <color theme="1" tint="0.249977111117893"/>
      <name val="Calibri"/>
      <family val="2"/>
      <scheme val="minor"/>
    </font>
    <font>
      <sz val="18"/>
      <color theme="3"/>
      <name val="Calibri Light"/>
      <family val="2"/>
      <scheme val="major"/>
    </font>
    <font>
      <b/>
      <sz val="11"/>
      <color theme="3"/>
      <name val="Calibri"/>
      <family val="2"/>
      <scheme val="minor"/>
    </font>
    <font>
      <b/>
      <sz val="11"/>
      <color rgb="FFF25022"/>
      <name val="Calibri"/>
      <family val="2"/>
      <scheme val="minor"/>
    </font>
    <font>
      <b/>
      <sz val="11"/>
      <color rgb="FF000000"/>
      <name val="Calibri"/>
      <family val="2"/>
      <scheme val="minor"/>
    </font>
    <font>
      <b/>
      <i/>
      <sz val="11"/>
      <name val="Calibri"/>
      <family val="2"/>
      <scheme val="minor"/>
    </font>
    <font>
      <sz val="11"/>
      <color theme="1" tint="0.249977111117893"/>
      <name val="Calibri"/>
      <family val="2"/>
      <scheme val="minor"/>
    </font>
    <font>
      <b/>
      <sz val="16"/>
      <color rgb="FFF25022"/>
      <name val="Calibri Light"/>
      <family val="2"/>
      <scheme val="major"/>
    </font>
    <font>
      <b/>
      <sz val="16"/>
      <name val="Calibri Light"/>
      <family val="2"/>
      <scheme val="major"/>
    </font>
    <font>
      <i/>
      <sz val="10"/>
      <color theme="1"/>
      <name val="Calibri"/>
      <family val="2"/>
      <scheme val="minor"/>
    </font>
    <font>
      <i/>
      <sz val="11"/>
      <name val="Calibri"/>
      <family val="2"/>
      <scheme val="minor"/>
    </font>
    <font>
      <i/>
      <sz val="10"/>
      <name val="Calibri"/>
      <family val="2"/>
      <scheme val="minor"/>
    </font>
    <font>
      <b/>
      <sz val="11"/>
      <name val="Calibri"/>
      <family val="2"/>
      <scheme val="minor"/>
    </font>
    <font>
      <sz val="11"/>
      <color theme="1"/>
      <name val="Calibri"/>
      <family val="2"/>
    </font>
    <font>
      <sz val="11"/>
      <name val="Calibri"/>
      <family val="2"/>
    </font>
    <font>
      <sz val="14"/>
      <color theme="1"/>
      <name val="Calibri"/>
      <family val="2"/>
      <scheme val="minor"/>
    </font>
    <font>
      <b/>
      <sz val="14"/>
      <color theme="1"/>
      <name val="Calibri"/>
      <family val="2"/>
      <scheme val="minor"/>
    </font>
    <font>
      <b/>
      <sz val="14"/>
      <name val="Calibri"/>
      <family val="2"/>
      <scheme val="minor"/>
    </font>
    <font>
      <sz val="14"/>
      <name val="Calibri"/>
      <family val="2"/>
      <scheme val="minor"/>
    </font>
    <font>
      <u/>
      <sz val="11"/>
      <color theme="10"/>
      <name val="Calibri"/>
      <family val="2"/>
    </font>
    <font>
      <b/>
      <sz val="14"/>
      <color rgb="FFF25022"/>
      <name val="Calibri"/>
      <family val="2"/>
      <scheme val="minor"/>
    </font>
    <font>
      <b/>
      <sz val="11"/>
      <color rgb="FF161616"/>
      <name val="Calibri"/>
      <family val="2"/>
      <scheme val="minor"/>
    </font>
    <font>
      <sz val="11"/>
      <color rgb="FF161616"/>
      <name val="Calibri"/>
      <family val="2"/>
      <scheme val="minor"/>
    </font>
    <font>
      <vertAlign val="superscript"/>
      <sz val="11"/>
      <color theme="1"/>
      <name val="Calibri"/>
      <family val="2"/>
      <scheme val="minor"/>
    </font>
    <font>
      <vertAlign val="superscript"/>
      <sz val="11"/>
      <color theme="1"/>
      <name val="Calibri"/>
      <family val="2"/>
    </font>
    <font>
      <b/>
      <vertAlign val="superscript"/>
      <sz val="11"/>
      <name val="Calibri"/>
      <family val="2"/>
      <scheme val="minor"/>
    </font>
    <font>
      <vertAlign val="superscript"/>
      <sz val="11"/>
      <color theme="0"/>
      <name val="Calibri"/>
      <family val="2"/>
      <scheme val="minor"/>
    </font>
    <font>
      <b/>
      <vertAlign val="superscript"/>
      <sz val="11"/>
      <color rgb="FF161616"/>
      <name val="Calibri"/>
      <family val="2"/>
      <scheme val="minor"/>
    </font>
    <font>
      <i/>
      <sz val="11"/>
      <color rgb="FF161616"/>
      <name val="Calibri"/>
      <family val="2"/>
      <scheme val="minor"/>
    </font>
    <font>
      <u/>
      <sz val="11"/>
      <name val="Wingdings 3"/>
      <family val="1"/>
      <charset val="2"/>
    </font>
    <font>
      <vertAlign val="superscript"/>
      <sz val="11"/>
      <name val="Calibri"/>
      <family val="2"/>
      <scheme val="minor"/>
    </font>
    <font>
      <u/>
      <sz val="11"/>
      <name val="Calibri"/>
      <family val="2"/>
      <scheme val="minor"/>
    </font>
    <font>
      <sz val="12"/>
      <name val="Calibri"/>
      <family val="2"/>
      <scheme val="minor"/>
    </font>
    <font>
      <b/>
      <sz val="16"/>
      <color theme="0"/>
      <name val="Calibri Light"/>
      <family val="2"/>
      <scheme val="major"/>
    </font>
    <font>
      <sz val="16"/>
      <color theme="0"/>
      <name val="Calibri Light"/>
      <family val="2"/>
      <scheme val="major"/>
    </font>
    <font>
      <i/>
      <sz val="11"/>
      <color theme="0"/>
      <name val="Calibri"/>
      <family val="2"/>
      <scheme val="minor"/>
    </font>
    <font>
      <b/>
      <vertAlign val="superscript"/>
      <sz val="14"/>
      <color theme="1"/>
      <name val="Calibri"/>
      <family val="2"/>
      <scheme val="minor"/>
    </font>
    <font>
      <sz val="36"/>
      <color theme="1"/>
      <name val="Calibri"/>
      <family val="2"/>
      <scheme val="minor"/>
    </font>
    <font>
      <sz val="36"/>
      <color rgb="FFF25022"/>
      <name val="Calibri"/>
      <family val="2"/>
      <scheme val="minor"/>
    </font>
    <font>
      <sz val="36"/>
      <color rgb="FFFFB900"/>
      <name val="Calibri"/>
      <family val="2"/>
      <scheme val="minor"/>
    </font>
    <font>
      <sz val="11"/>
      <color rgb="FFFFB900"/>
      <name val="Calibri"/>
      <family val="2"/>
      <scheme val="minor"/>
    </font>
    <font>
      <sz val="14"/>
      <color theme="0"/>
      <name val="Calibri"/>
      <family val="2"/>
      <scheme val="minor"/>
    </font>
    <font>
      <b/>
      <sz val="11"/>
      <color theme="6" tint="-0.249977111117893"/>
      <name val="Calibri"/>
      <family val="2"/>
      <scheme val="minor"/>
    </font>
    <font>
      <sz val="36"/>
      <name val="Calibri"/>
      <family val="2"/>
      <scheme val="minor"/>
    </font>
    <font>
      <sz val="36"/>
      <color rgb="FF00A4EF"/>
      <name val="Calibri"/>
      <family val="2"/>
      <scheme val="minor"/>
    </font>
    <font>
      <sz val="11"/>
      <color rgb="FF00A4EF"/>
      <name val="Calibri"/>
      <family val="2"/>
      <scheme val="minor"/>
    </font>
    <font>
      <sz val="36"/>
      <color rgb="FF7FBA00"/>
      <name val="Calibri"/>
      <family val="2"/>
      <scheme val="minor"/>
    </font>
    <font>
      <sz val="6"/>
      <name val="Calibri"/>
      <family val="3"/>
      <charset val="128"/>
      <scheme val="minor"/>
    </font>
    <font>
      <u/>
      <sz val="11"/>
      <color rgb="FF0563C1"/>
      <name val="Calibri"/>
      <family val="2"/>
    </font>
    <font>
      <b/>
      <sz val="11"/>
      <color theme="1"/>
      <name val="Calibri"/>
      <family val="2"/>
    </font>
    <font>
      <u/>
      <vertAlign val="superscript"/>
      <sz val="11"/>
      <color theme="10"/>
      <name val="Calibri"/>
      <family val="2"/>
      <scheme val="minor"/>
    </font>
    <font>
      <sz val="14"/>
      <color theme="1" tint="0.249977111117893"/>
      <name val="Calibri"/>
      <family val="2"/>
      <scheme val="minor"/>
    </font>
  </fonts>
  <fills count="16">
    <fill>
      <patternFill patternType="none"/>
    </fill>
    <fill>
      <patternFill patternType="gray125"/>
    </fill>
    <fill>
      <patternFill patternType="solid">
        <fgColor rgb="FF00A4EF"/>
        <bgColor indexed="64"/>
      </patternFill>
    </fill>
    <fill>
      <patternFill patternType="solid">
        <fgColor rgb="FFF25022"/>
        <bgColor indexed="64"/>
      </patternFill>
    </fill>
    <fill>
      <patternFill patternType="solid">
        <fgColor theme="6" tint="0.79998168889431442"/>
        <bgColor theme="6" tint="0.79998168889431442"/>
      </patternFill>
    </fill>
    <fill>
      <patternFill patternType="solid">
        <fgColor rgb="FFFFB900"/>
        <bgColor indexed="64"/>
      </patternFill>
    </fill>
    <fill>
      <patternFill patternType="solid">
        <fgColor rgb="FF7FBA00"/>
        <bgColor indexed="64"/>
      </patternFill>
    </fill>
    <fill>
      <patternFill patternType="solid">
        <fgColor rgb="FF747474"/>
        <bgColor indexed="64"/>
      </patternFill>
    </fill>
    <fill>
      <patternFill patternType="solid">
        <fgColor theme="0" tint="-4.9989318521683403E-2"/>
        <bgColor indexed="64"/>
      </patternFill>
    </fill>
    <fill>
      <patternFill patternType="solid">
        <fgColor theme="0"/>
        <bgColor indexed="64"/>
      </patternFill>
    </fill>
    <fill>
      <patternFill patternType="solid">
        <fgColor theme="0" tint="-0.34998626667073579"/>
        <bgColor theme="0" tint="-0.34998626667073579"/>
      </patternFill>
    </fill>
    <fill>
      <patternFill patternType="solid">
        <fgColor theme="1" tint="0.249977111117893"/>
        <bgColor indexed="64"/>
      </patternFill>
    </fill>
    <fill>
      <patternFill patternType="solid">
        <fgColor theme="4" tint="-0.499984740745262"/>
        <bgColor indexed="64"/>
      </patternFill>
    </fill>
    <fill>
      <patternFill patternType="solid">
        <fgColor theme="0"/>
        <bgColor theme="0" tint="-0.34998626667073579"/>
      </patternFill>
    </fill>
    <fill>
      <patternFill patternType="solid">
        <fgColor rgb="FFFFFFFF"/>
        <bgColor indexed="64"/>
      </patternFill>
    </fill>
    <fill>
      <patternFill patternType="solid">
        <fgColor theme="0"/>
        <bgColor rgb="FF000000"/>
      </patternFill>
    </fill>
  </fills>
  <borders count="118">
    <border>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bottom style="thick">
        <color theme="4"/>
      </bottom>
      <diagonal/>
    </border>
    <border>
      <left/>
      <right/>
      <top style="thin">
        <color indexed="64"/>
      </top>
      <bottom/>
      <diagonal/>
    </border>
    <border>
      <left/>
      <right/>
      <top/>
      <bottom style="thin">
        <color indexed="64"/>
      </bottom>
      <diagonal/>
    </border>
    <border>
      <left/>
      <right/>
      <top style="thin">
        <color indexed="64"/>
      </top>
      <bottom style="double">
        <color indexed="64"/>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right/>
      <top/>
      <bottom style="thin">
        <color theme="4" tint="-0.499984740745262"/>
      </bottom>
      <diagonal/>
    </border>
    <border>
      <left/>
      <right/>
      <top style="thin">
        <color theme="4" tint="-0.499984740745262"/>
      </top>
      <bottom/>
      <diagonal/>
    </border>
    <border>
      <left style="thin">
        <color theme="4" tint="0.79998168889431442"/>
      </left>
      <right style="thin">
        <color theme="0"/>
      </right>
      <top/>
      <bottom/>
      <diagonal/>
    </border>
    <border>
      <left/>
      <right style="thin">
        <color theme="4" tint="-0.499984740745262"/>
      </right>
      <top/>
      <bottom/>
      <diagonal/>
    </border>
    <border>
      <left style="thin">
        <color rgb="FFF25022"/>
      </left>
      <right style="thin">
        <color rgb="FFF25022"/>
      </right>
      <top style="thin">
        <color rgb="FFF25022"/>
      </top>
      <bottom style="thin">
        <color rgb="FFF25022"/>
      </bottom>
      <diagonal/>
    </border>
    <border>
      <left style="thin">
        <color rgb="FFF25022"/>
      </left>
      <right style="thin">
        <color rgb="FFF25022"/>
      </right>
      <top/>
      <bottom/>
      <diagonal/>
    </border>
    <border>
      <left style="thin">
        <color rgb="FFFFB900"/>
      </left>
      <right style="thin">
        <color rgb="FFFFB900"/>
      </right>
      <top style="thin">
        <color rgb="FFFFB900"/>
      </top>
      <bottom/>
      <diagonal/>
    </border>
    <border>
      <left style="thin">
        <color rgb="FF7FBA00"/>
      </left>
      <right style="thin">
        <color rgb="FF7FBA00"/>
      </right>
      <top style="thin">
        <color rgb="FF7FBA00"/>
      </top>
      <bottom style="thin">
        <color rgb="FF7FBA00"/>
      </bottom>
      <diagonal/>
    </border>
    <border>
      <left style="thin">
        <color rgb="FFFFB900"/>
      </left>
      <right style="thin">
        <color rgb="FFFFB900"/>
      </right>
      <top style="thin">
        <color rgb="FFFFB900"/>
      </top>
      <bottom style="thin">
        <color rgb="FFFFB900"/>
      </bottom>
      <diagonal/>
    </border>
    <border>
      <left style="thin">
        <color theme="0" tint="-4.9989318521683403E-2"/>
      </left>
      <right/>
      <top style="thin">
        <color theme="0" tint="-4.9989318521683403E-2"/>
      </top>
      <bottom style="thin">
        <color theme="0" tint="-4.9989318521683403E-2"/>
      </bottom>
      <diagonal/>
    </border>
    <border>
      <left/>
      <right/>
      <top style="thin">
        <color theme="0" tint="-4.9989318521683403E-2"/>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diagonal/>
    </border>
    <border>
      <left style="thin">
        <color theme="0"/>
      </left>
      <right/>
      <top/>
      <bottom/>
      <diagonal/>
    </border>
    <border>
      <left/>
      <right style="thin">
        <color theme="0"/>
      </right>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
      <left style="thin">
        <color theme="0" tint="-4.9989318521683403E-2"/>
      </left>
      <right/>
      <top style="thin">
        <color theme="0" tint="-4.9989318521683403E-2"/>
      </top>
      <bottom/>
      <diagonal/>
    </border>
    <border>
      <left/>
      <right style="thin">
        <color theme="0" tint="-4.9989318521683403E-2"/>
      </right>
      <top style="thin">
        <color theme="0" tint="-4.9989318521683403E-2"/>
      </top>
      <bottom/>
      <diagonal/>
    </border>
    <border>
      <left style="thin">
        <color theme="0" tint="-4.9989318521683403E-2"/>
      </left>
      <right/>
      <top/>
      <bottom/>
      <diagonal/>
    </border>
    <border>
      <left/>
      <right style="thin">
        <color theme="0" tint="-4.9989318521683403E-2"/>
      </right>
      <top/>
      <bottom/>
      <diagonal/>
    </border>
    <border>
      <left style="thin">
        <color theme="0" tint="-4.9989318521683403E-2"/>
      </left>
      <right/>
      <top/>
      <bottom style="thin">
        <color theme="0" tint="-4.9989318521683403E-2"/>
      </bottom>
      <diagonal/>
    </border>
    <border>
      <left/>
      <right style="thin">
        <color theme="0" tint="-4.9989318521683403E-2"/>
      </right>
      <top/>
      <bottom style="thin">
        <color theme="0" tint="-4.9989318521683403E-2"/>
      </bottom>
      <diagonal/>
    </border>
    <border>
      <left/>
      <right/>
      <top style="thin">
        <color theme="0" tint="-4.9989318521683403E-2"/>
      </top>
      <bottom/>
      <diagonal/>
    </border>
    <border>
      <left style="thin">
        <color rgb="FF00A4EF"/>
      </left>
      <right style="thin">
        <color rgb="FF00A4EF"/>
      </right>
      <top style="thin">
        <color rgb="FF00A4EF"/>
      </top>
      <bottom style="thin">
        <color rgb="FF00A4EF"/>
      </bottom>
      <diagonal/>
    </border>
    <border>
      <left style="thin">
        <color rgb="FF7FBA00"/>
      </left>
      <right/>
      <top/>
      <bottom style="thin">
        <color rgb="FF7FBA00"/>
      </bottom>
      <diagonal/>
    </border>
    <border>
      <left style="thin">
        <color rgb="FFFFB900"/>
      </left>
      <right style="thin">
        <color rgb="FFFFB900"/>
      </right>
      <top/>
      <bottom style="thin">
        <color rgb="FFFFB900"/>
      </bottom>
      <diagonal/>
    </border>
    <border>
      <left style="thin">
        <color rgb="FF00A4EF"/>
      </left>
      <right style="thin">
        <color rgb="FF00A4EF"/>
      </right>
      <top style="thin">
        <color rgb="FF00A4EF"/>
      </top>
      <bottom/>
      <diagonal/>
    </border>
    <border>
      <left style="thin">
        <color rgb="FF00A4EF"/>
      </left>
      <right style="thin">
        <color rgb="FF00A4EF"/>
      </right>
      <top/>
      <bottom/>
      <diagonal/>
    </border>
    <border>
      <left style="thin">
        <color rgb="FF00A4EF"/>
      </left>
      <right style="thin">
        <color rgb="FF00A4EF"/>
      </right>
      <top/>
      <bottom style="thin">
        <color rgb="FF00A4EF"/>
      </bottom>
      <diagonal/>
    </border>
    <border>
      <left style="thin">
        <color rgb="FFF25022"/>
      </left>
      <right style="thin">
        <color rgb="FFF25022"/>
      </right>
      <top style="thin">
        <color rgb="FFF25022"/>
      </top>
      <bottom/>
      <diagonal/>
    </border>
    <border>
      <left style="thin">
        <color theme="0" tint="-4.9989318521683403E-2"/>
      </left>
      <right style="thin">
        <color theme="0" tint="-4.9989318521683403E-2"/>
      </right>
      <top style="thin">
        <color theme="0" tint="-4.9989318521683403E-2"/>
      </top>
      <bottom/>
      <diagonal/>
    </border>
    <border>
      <left style="thin">
        <color indexed="64"/>
      </left>
      <right style="thin">
        <color indexed="64"/>
      </right>
      <top style="thin">
        <color theme="0" tint="-4.9989318521683403E-2"/>
      </top>
      <bottom/>
      <diagonal/>
    </border>
    <border>
      <left style="thin">
        <color indexed="64"/>
      </left>
      <right style="thin">
        <color indexed="64"/>
      </right>
      <top/>
      <bottom style="thin">
        <color theme="0" tint="-4.9989318521683403E-2"/>
      </bottom>
      <diagonal/>
    </border>
    <border>
      <left/>
      <right style="thin">
        <color rgb="FFFFB900"/>
      </right>
      <top/>
      <bottom/>
      <diagonal/>
    </border>
    <border>
      <left style="thin">
        <color rgb="FF737373"/>
      </left>
      <right style="thin">
        <color rgb="FF737373"/>
      </right>
      <top style="thin">
        <color rgb="FF737373"/>
      </top>
      <bottom style="thin">
        <color rgb="FF737373"/>
      </bottom>
      <diagonal/>
    </border>
    <border>
      <left/>
      <right style="thin">
        <color rgb="FF737373"/>
      </right>
      <top/>
      <bottom/>
      <diagonal/>
    </border>
    <border>
      <left/>
      <right/>
      <top/>
      <bottom style="thin">
        <color theme="0" tint="-4.9989318521683403E-2"/>
      </bottom>
      <diagonal/>
    </border>
    <border>
      <left/>
      <right/>
      <top/>
      <bottom style="medium">
        <color rgb="FF737373"/>
      </bottom>
      <diagonal/>
    </border>
    <border>
      <left/>
      <right/>
      <top/>
      <bottom style="mediumDashed">
        <color rgb="FF737373"/>
      </bottom>
      <diagonal/>
    </border>
    <border>
      <left/>
      <right/>
      <top style="mediumDashed">
        <color rgb="FF737373"/>
      </top>
      <bottom/>
      <diagonal/>
    </border>
    <border>
      <left style="thin">
        <color rgb="FF7FBA00"/>
      </left>
      <right/>
      <top style="thin">
        <color rgb="FF7FBA00"/>
      </top>
      <bottom/>
      <diagonal/>
    </border>
    <border>
      <left style="thin">
        <color rgb="FF7FBA00"/>
      </left>
      <right/>
      <top/>
      <bottom/>
      <diagonal/>
    </border>
    <border>
      <left style="thin">
        <color rgb="FFF25022"/>
      </left>
      <right style="thin">
        <color rgb="FFF25022"/>
      </right>
      <top style="thin">
        <color indexed="64"/>
      </top>
      <bottom/>
      <diagonal/>
    </border>
    <border>
      <left style="thin">
        <color rgb="FFF25022"/>
      </left>
      <right style="thin">
        <color rgb="FFF25022"/>
      </right>
      <top/>
      <bottom style="thin">
        <color indexed="64"/>
      </bottom>
      <diagonal/>
    </border>
    <border>
      <left style="thin">
        <color rgb="FFF25022"/>
      </left>
      <right style="thin">
        <color rgb="FFF25022"/>
      </right>
      <top/>
      <bottom style="thin">
        <color rgb="FFF25022"/>
      </bottom>
      <diagonal/>
    </border>
    <border>
      <left style="thin">
        <color rgb="FFF25022"/>
      </left>
      <right style="thin">
        <color rgb="FFF25022"/>
      </right>
      <top/>
      <bottom style="medium">
        <color rgb="FF737373"/>
      </bottom>
      <diagonal/>
    </border>
    <border>
      <left style="mediumDashed">
        <color rgb="FF00A4EF"/>
      </left>
      <right style="mediumDashed">
        <color rgb="FF00A4EF"/>
      </right>
      <top style="mediumDashed">
        <color rgb="FF00A4EF"/>
      </top>
      <bottom style="mediumDashed">
        <color rgb="FF00A4EF"/>
      </bottom>
      <diagonal/>
    </border>
    <border>
      <left/>
      <right style="mediumDashed">
        <color rgb="FF00A4EF"/>
      </right>
      <top style="mediumDashed">
        <color rgb="FF00A4EF"/>
      </top>
      <bottom/>
      <diagonal/>
    </border>
    <border>
      <left/>
      <right style="mediumDashed">
        <color rgb="FF00A4EF"/>
      </right>
      <top/>
      <bottom/>
      <diagonal/>
    </border>
    <border>
      <left/>
      <right style="mediumDashed">
        <color rgb="FF00A4EF"/>
      </right>
      <top style="thin">
        <color indexed="64"/>
      </top>
      <bottom/>
      <diagonal/>
    </border>
    <border>
      <left/>
      <right style="mediumDashed">
        <color rgb="FF00A4EF"/>
      </right>
      <top/>
      <bottom style="thin">
        <color indexed="64"/>
      </bottom>
      <diagonal/>
    </border>
    <border>
      <left/>
      <right style="mediumDashed">
        <color rgb="FF00A4EF"/>
      </right>
      <top style="thin">
        <color indexed="64"/>
      </top>
      <bottom style="mediumDashed">
        <color rgb="FF00A4EF"/>
      </bottom>
      <diagonal/>
    </border>
    <border>
      <left style="mediumDashed">
        <color rgb="FF00A4EF"/>
      </left>
      <right style="mediumDashed">
        <color rgb="FF00A4EF"/>
      </right>
      <top style="mediumDashed">
        <color rgb="FF00A4EF"/>
      </top>
      <bottom/>
      <diagonal/>
    </border>
    <border>
      <left style="mediumDashed">
        <color rgb="FF00A4EF"/>
      </left>
      <right style="mediumDashed">
        <color rgb="FF00A4EF"/>
      </right>
      <top/>
      <bottom/>
      <diagonal/>
    </border>
    <border>
      <left style="mediumDashed">
        <color rgb="FF00A4EF"/>
      </left>
      <right style="mediumDashed">
        <color rgb="FF00A4EF"/>
      </right>
      <top style="thin">
        <color indexed="64"/>
      </top>
      <bottom/>
      <diagonal/>
    </border>
    <border>
      <left style="mediumDashed">
        <color rgb="FF00A4EF"/>
      </left>
      <right style="mediumDashed">
        <color rgb="FF00A4EF"/>
      </right>
      <top/>
      <bottom style="thin">
        <color indexed="64"/>
      </bottom>
      <diagonal/>
    </border>
    <border>
      <left style="mediumDashed">
        <color rgb="FF00A4EF"/>
      </left>
      <right style="mediumDashed">
        <color rgb="FF00A4EF"/>
      </right>
      <top style="thin">
        <color indexed="64"/>
      </top>
      <bottom style="mediumDashed">
        <color rgb="FF00A4EF"/>
      </bottom>
      <diagonal/>
    </border>
    <border>
      <left style="thin">
        <color rgb="FF737373"/>
      </left>
      <right/>
      <top style="thin">
        <color rgb="FF737373"/>
      </top>
      <bottom/>
      <diagonal/>
    </border>
    <border>
      <left/>
      <right/>
      <top style="thin">
        <color rgb="FF737373"/>
      </top>
      <bottom/>
      <diagonal/>
    </border>
    <border>
      <left style="mediumDashed">
        <color rgb="FF00A4EF"/>
      </left>
      <right style="mediumDashed">
        <color rgb="FF00A4EF"/>
      </right>
      <top style="thin">
        <color rgb="FF737373"/>
      </top>
      <bottom/>
      <diagonal/>
    </border>
    <border>
      <left/>
      <right style="mediumDashed">
        <color rgb="FF00A4EF"/>
      </right>
      <top style="thin">
        <color rgb="FF737373"/>
      </top>
      <bottom/>
      <diagonal/>
    </border>
    <border>
      <left style="thin">
        <color rgb="FFF25022"/>
      </left>
      <right style="thin">
        <color rgb="FF737373"/>
      </right>
      <top style="thin">
        <color rgb="FF737373"/>
      </top>
      <bottom/>
      <diagonal/>
    </border>
    <border>
      <left style="thin">
        <color rgb="FF737373"/>
      </left>
      <right/>
      <top/>
      <bottom style="thin">
        <color rgb="FF737373"/>
      </bottom>
      <diagonal/>
    </border>
    <border>
      <left/>
      <right/>
      <top/>
      <bottom style="thin">
        <color rgb="FF737373"/>
      </bottom>
      <diagonal/>
    </border>
    <border>
      <left style="mediumDashed">
        <color rgb="FF00A4EF"/>
      </left>
      <right style="mediumDashed">
        <color rgb="FF00A4EF"/>
      </right>
      <top/>
      <bottom style="thin">
        <color rgb="FF737373"/>
      </bottom>
      <diagonal/>
    </border>
    <border>
      <left/>
      <right style="mediumDashed">
        <color rgb="FF00A4EF"/>
      </right>
      <top/>
      <bottom style="thin">
        <color rgb="FF737373"/>
      </bottom>
      <diagonal/>
    </border>
    <border>
      <left style="thin">
        <color rgb="FFF25022"/>
      </left>
      <right style="thin">
        <color rgb="FF737373"/>
      </right>
      <top/>
      <bottom style="thin">
        <color rgb="FF737373"/>
      </bottom>
      <diagonal/>
    </border>
    <border>
      <left style="mediumDashed">
        <color rgb="FF00A4EF"/>
      </left>
      <right style="mediumDashed">
        <color rgb="FF00A4EF"/>
      </right>
      <top style="thin">
        <color indexed="64"/>
      </top>
      <bottom style="thin">
        <color indexed="64"/>
      </bottom>
      <diagonal/>
    </border>
    <border>
      <left/>
      <right style="mediumDashed">
        <color rgb="FF00A4EF"/>
      </right>
      <top style="thin">
        <color indexed="64"/>
      </top>
      <bottom style="thin">
        <color indexed="64"/>
      </bottom>
      <diagonal/>
    </border>
    <border>
      <left style="thin">
        <color rgb="FFF25022"/>
      </left>
      <right style="thin">
        <color rgb="FFF25022"/>
      </right>
      <top style="thin">
        <color indexed="64"/>
      </top>
      <bottom style="thin">
        <color indexed="64"/>
      </bottom>
      <diagonal/>
    </border>
    <border>
      <left/>
      <right style="thin">
        <color rgb="FFF25022"/>
      </right>
      <top style="thin">
        <color indexed="64"/>
      </top>
      <bottom style="thin">
        <color indexed="64"/>
      </bottom>
      <diagonal/>
    </border>
    <border>
      <left style="thin">
        <color indexed="64"/>
      </left>
      <right/>
      <top style="thin">
        <color theme="0" tint="-4.9989318521683403E-2"/>
      </top>
      <bottom/>
      <diagonal/>
    </border>
    <border>
      <left style="thin">
        <color indexed="64"/>
      </left>
      <right/>
      <top/>
      <bottom style="thin">
        <color theme="0" tint="-4.9989318521683403E-2"/>
      </bottom>
      <diagonal/>
    </border>
    <border>
      <left style="thin">
        <color theme="0"/>
      </left>
      <right style="thin">
        <color theme="0"/>
      </right>
      <top style="thin">
        <color theme="0"/>
      </top>
      <bottom/>
      <diagonal/>
    </border>
    <border>
      <left style="thin">
        <color theme="0"/>
      </left>
      <right style="thin">
        <color theme="0"/>
      </right>
      <top/>
      <bottom/>
      <diagonal/>
    </border>
    <border>
      <left style="thin">
        <color theme="0"/>
      </left>
      <right style="thin">
        <color theme="0"/>
      </right>
      <top/>
      <bottom style="thin">
        <color theme="0"/>
      </bottom>
      <diagonal/>
    </border>
    <border>
      <left style="thin">
        <color theme="0"/>
      </left>
      <right/>
      <top style="thin">
        <color indexed="64"/>
      </top>
      <bottom style="thin">
        <color indexed="64"/>
      </bottom>
      <diagonal/>
    </border>
    <border>
      <left style="mediumDashed">
        <color rgb="FF00A4EF"/>
      </left>
      <right/>
      <top style="thin">
        <color indexed="64"/>
      </top>
      <bottom style="thin">
        <color indexed="64"/>
      </bottom>
      <diagonal/>
    </border>
    <border>
      <left style="thin">
        <color rgb="FFF25022"/>
      </left>
      <right style="thin">
        <color indexed="64"/>
      </right>
      <top style="thin">
        <color indexed="64"/>
      </top>
      <bottom style="thin">
        <color indexed="64"/>
      </bottom>
      <diagonal/>
    </border>
    <border>
      <left style="thin">
        <color theme="0"/>
      </left>
      <right/>
      <top style="thin">
        <color theme="0"/>
      </top>
      <bottom style="thin">
        <color theme="0"/>
      </bottom>
      <diagonal/>
    </border>
    <border>
      <left/>
      <right/>
      <top style="thin">
        <color theme="0"/>
      </top>
      <bottom style="thin">
        <color theme="0"/>
      </bottom>
      <diagonal/>
    </border>
    <border>
      <left style="thin">
        <color rgb="FF7FBA00"/>
      </left>
      <right style="thin">
        <color rgb="FF7FBA00"/>
      </right>
      <top style="thin">
        <color rgb="FF7FBA00"/>
      </top>
      <bottom/>
      <diagonal/>
    </border>
    <border>
      <left style="thin">
        <color rgb="FF7FBA00"/>
      </left>
      <right style="thin">
        <color rgb="FF7FBA00"/>
      </right>
      <top/>
      <bottom style="thin">
        <color rgb="FF7FBA00"/>
      </bottom>
      <diagonal/>
    </border>
    <border>
      <left/>
      <right style="thin">
        <color rgb="FF7FBA00"/>
      </right>
      <top style="thin">
        <color rgb="FF7FBA00"/>
      </top>
      <bottom style="thin">
        <color rgb="FF7FBA00"/>
      </bottom>
      <diagonal/>
    </border>
    <border>
      <left/>
      <right/>
      <top/>
      <bottom style="thin">
        <color rgb="FF7FBA00"/>
      </bottom>
      <diagonal/>
    </border>
    <border>
      <left style="thin">
        <color rgb="FF7FBA00"/>
      </left>
      <right style="thin">
        <color rgb="FF7FBA00"/>
      </right>
      <top/>
      <bottom/>
      <diagonal/>
    </border>
    <border>
      <left style="thin">
        <color rgb="FFFFB900"/>
      </left>
      <right style="thin">
        <color rgb="FFFFB900"/>
      </right>
      <top/>
      <bottom/>
      <diagonal/>
    </border>
    <border>
      <left style="thin">
        <color rgb="FF737373"/>
      </left>
      <right style="thin">
        <color rgb="FF737373"/>
      </right>
      <top style="thin">
        <color rgb="FF737373"/>
      </top>
      <bottom/>
      <diagonal/>
    </border>
    <border>
      <left style="thin">
        <color rgb="FF737373"/>
      </left>
      <right style="thin">
        <color rgb="FF737373"/>
      </right>
      <top/>
      <bottom/>
      <diagonal/>
    </border>
    <border>
      <left style="thin">
        <color rgb="FF737373"/>
      </left>
      <right style="thin">
        <color rgb="FF737373"/>
      </right>
      <top/>
      <bottom style="thin">
        <color rgb="FF737373"/>
      </bottom>
      <diagonal/>
    </border>
    <border>
      <left/>
      <right/>
      <top style="thin">
        <color indexed="64"/>
      </top>
      <bottom style="thin">
        <color theme="0" tint="-4.9989318521683403E-2"/>
      </bottom>
      <diagonal/>
    </border>
    <border>
      <left/>
      <right style="thin">
        <color indexed="64"/>
      </right>
      <top style="thin">
        <color indexed="64"/>
      </top>
      <bottom style="thin">
        <color theme="0" tint="-4.9989318521683403E-2"/>
      </bottom>
      <diagonal/>
    </border>
    <border>
      <left style="medium">
        <color theme="1" tint="0.249977111117893"/>
      </left>
      <right/>
      <top style="medium">
        <color theme="1" tint="0.249977111117893"/>
      </top>
      <bottom style="medium">
        <color theme="1" tint="0.249977111117893"/>
      </bottom>
      <diagonal/>
    </border>
    <border>
      <left/>
      <right/>
      <top style="medium">
        <color theme="1" tint="0.249977111117893"/>
      </top>
      <bottom style="medium">
        <color theme="1" tint="0.249977111117893"/>
      </bottom>
      <diagonal/>
    </border>
    <border>
      <left/>
      <right style="medium">
        <color theme="1" tint="0.249977111117893"/>
      </right>
      <top style="medium">
        <color theme="1" tint="0.249977111117893"/>
      </top>
      <bottom style="medium">
        <color theme="1" tint="0.249977111117893"/>
      </bottom>
      <diagonal/>
    </border>
  </borders>
  <cellStyleXfs count="17">
    <xf numFmtId="0" fontId="0" fillId="0" borderId="0"/>
    <xf numFmtId="0" fontId="2" fillId="0" borderId="0" applyNumberFormat="0" applyFill="0" applyBorder="0" applyAlignment="0" applyProtection="0"/>
    <xf numFmtId="0" fontId="3" fillId="0" borderId="7" applyNumberFormat="0" applyFill="0" applyAlignment="0" applyProtection="0"/>
    <xf numFmtId="165" fontId="9" fillId="0" borderId="0" applyFont="0" applyFill="0" applyBorder="0" applyAlignment="0" applyProtection="0"/>
    <xf numFmtId="9" fontId="9" fillId="0" borderId="0" applyFont="0" applyFill="0" applyBorder="0" applyAlignment="0" applyProtection="0"/>
    <xf numFmtId="0" fontId="17" fillId="0" borderId="0">
      <alignment vertical="center"/>
    </xf>
    <xf numFmtId="0" fontId="4" fillId="0" borderId="0" applyNumberFormat="0" applyFill="0" applyBorder="0" applyAlignment="0">
      <alignment wrapText="1"/>
    </xf>
    <xf numFmtId="0" fontId="17" fillId="0" borderId="20" applyNumberFormat="0" applyFont="0" applyFill="0" applyAlignment="0" applyProtection="0">
      <alignment horizontal="left" vertical="center" indent="2"/>
    </xf>
    <xf numFmtId="1" fontId="8" fillId="0" borderId="0" applyFill="0" applyBorder="0">
      <alignment horizontal="center"/>
    </xf>
    <xf numFmtId="172" fontId="18" fillId="0" borderId="0" applyNumberFormat="0" applyFill="0" applyBorder="0">
      <alignment horizontal="left" vertical="center" indent="1"/>
    </xf>
    <xf numFmtId="0" fontId="11" fillId="0" borderId="19" applyNumberFormat="0" applyFont="0" applyFill="0" applyAlignment="0" applyProtection="0">
      <alignment horizontal="center"/>
    </xf>
    <xf numFmtId="0" fontId="4" fillId="12" borderId="21">
      <alignment horizontal="left" indent="1"/>
    </xf>
    <xf numFmtId="0" fontId="11" fillId="0" borderId="22" applyNumberFormat="0" applyFont="0" applyFill="0" applyAlignment="0" applyProtection="0"/>
    <xf numFmtId="20" fontId="11" fillId="8" borderId="0" applyFill="0" applyBorder="0">
      <alignment horizontal="left" indent="1"/>
    </xf>
    <xf numFmtId="0" fontId="11" fillId="8" borderId="0" applyFont="0" applyBorder="0">
      <alignment horizontal="left" vertical="top" indent="1"/>
    </xf>
    <xf numFmtId="0" fontId="19" fillId="0" borderId="0" applyNumberFormat="0" applyFill="0" applyBorder="0" applyAlignment="0" applyProtection="0"/>
    <xf numFmtId="0" fontId="20" fillId="0" borderId="0" applyNumberFormat="0" applyFill="0" applyBorder="0" applyAlignment="0" applyProtection="0"/>
  </cellStyleXfs>
  <cellXfs count="714">
    <xf numFmtId="0" fontId="0" fillId="0" borderId="0" xfId="0"/>
    <xf numFmtId="0" fontId="2" fillId="0" borderId="0" xfId="1"/>
    <xf numFmtId="0" fontId="0" fillId="0" borderId="0" xfId="0" applyAlignment="1">
      <alignment wrapText="1"/>
    </xf>
    <xf numFmtId="0" fontId="2" fillId="0" borderId="0" xfId="1" applyFill="1" applyBorder="1" applyAlignment="1">
      <alignment wrapText="1"/>
    </xf>
    <xf numFmtId="0" fontId="0" fillId="8" borderId="0" xfId="0" applyFill="1"/>
    <xf numFmtId="0" fontId="6" fillId="8" borderId="0" xfId="0" applyFont="1" applyFill="1"/>
    <xf numFmtId="0" fontId="13" fillId="8" borderId="0" xfId="0" applyFont="1" applyFill="1" applyAlignment="1">
      <alignment vertical="center"/>
    </xf>
    <xf numFmtId="0" fontId="0" fillId="9" borderId="0" xfId="0" applyFill="1"/>
    <xf numFmtId="0" fontId="0" fillId="8" borderId="0" xfId="0" applyFill="1" applyAlignment="1">
      <alignment wrapText="1"/>
    </xf>
    <xf numFmtId="0" fontId="5" fillId="8" borderId="0" xfId="2" applyFont="1" applyFill="1" applyBorder="1" applyAlignment="1">
      <alignment wrapText="1"/>
    </xf>
    <xf numFmtId="0" fontId="2" fillId="0" borderId="0" xfId="1" applyFill="1" applyBorder="1"/>
    <xf numFmtId="0" fontId="2" fillId="8" borderId="0" xfId="1" applyFill="1"/>
    <xf numFmtId="0" fontId="0" fillId="8" borderId="0" xfId="0" applyFill="1" applyAlignment="1">
      <alignment horizontal="center" wrapText="1"/>
    </xf>
    <xf numFmtId="0" fontId="13" fillId="8" borderId="0" xfId="2" applyFont="1" applyFill="1" applyBorder="1" applyAlignment="1">
      <alignment horizontal="center"/>
    </xf>
    <xf numFmtId="0" fontId="2" fillId="0" borderId="0" xfId="1" applyFill="1" applyAlignment="1">
      <alignment wrapText="1"/>
    </xf>
    <xf numFmtId="0" fontId="2" fillId="0" borderId="0" xfId="1" applyFill="1" applyBorder="1" applyAlignment="1">
      <alignment vertical="center" wrapText="1"/>
    </xf>
    <xf numFmtId="0" fontId="11" fillId="0" borderId="0" xfId="0" applyFont="1"/>
    <xf numFmtId="0" fontId="13" fillId="8" borderId="0" xfId="0" applyFont="1" applyFill="1" applyAlignment="1">
      <alignment horizontal="center" vertical="center"/>
    </xf>
    <xf numFmtId="0" fontId="11" fillId="0" borderId="0" xfId="0" applyFont="1" applyAlignment="1">
      <alignment wrapText="1"/>
    </xf>
    <xf numFmtId="0" fontId="2" fillId="8" borderId="0" xfId="1" applyFill="1" applyAlignment="1">
      <alignment wrapText="1"/>
    </xf>
    <xf numFmtId="0" fontId="0" fillId="8" borderId="0" xfId="0" applyFill="1" applyAlignment="1">
      <alignment horizontal="center" vertical="center" wrapText="1"/>
    </xf>
    <xf numFmtId="0" fontId="2" fillId="8" borderId="0" xfId="1" applyFill="1" applyAlignment="1"/>
    <xf numFmtId="0" fontId="0" fillId="9" borderId="11" xfId="0" applyFill="1" applyBorder="1" applyAlignment="1">
      <alignment horizontal="center" vertical="center" wrapText="1"/>
    </xf>
    <xf numFmtId="10" fontId="0" fillId="8" borderId="11" xfId="0" applyNumberFormat="1" applyFill="1" applyBorder="1" applyAlignment="1">
      <alignment horizontal="center" vertical="center" wrapText="1"/>
    </xf>
    <xf numFmtId="20" fontId="0" fillId="9" borderId="11" xfId="0" applyNumberFormat="1" applyFill="1" applyBorder="1" applyAlignment="1">
      <alignment horizontal="center" vertical="center" wrapText="1"/>
    </xf>
    <xf numFmtId="20" fontId="0" fillId="8" borderId="11" xfId="0" applyNumberFormat="1" applyFill="1" applyBorder="1" applyAlignment="1">
      <alignment horizontal="center" vertical="center" wrapText="1"/>
    </xf>
    <xf numFmtId="0" fontId="0" fillId="9" borderId="11" xfId="0" applyFill="1" applyBorder="1" applyAlignment="1">
      <alignment horizontal="center" vertical="center"/>
    </xf>
    <xf numFmtId="0" fontId="0" fillId="8" borderId="11" xfId="0" applyFill="1" applyBorder="1" applyAlignment="1">
      <alignment horizontal="center" vertical="center"/>
    </xf>
    <xf numFmtId="0" fontId="14" fillId="8" borderId="11" xfId="0" applyFont="1" applyFill="1" applyBorder="1" applyAlignment="1">
      <alignment horizontal="center" vertical="center"/>
    </xf>
    <xf numFmtId="10" fontId="0" fillId="8" borderId="16" xfId="0" applyNumberFormat="1" applyFill="1" applyBorder="1" applyAlignment="1">
      <alignment horizontal="center" vertical="center" wrapText="1"/>
    </xf>
    <xf numFmtId="20" fontId="0" fillId="9" borderId="17" xfId="0" applyNumberFormat="1" applyFill="1" applyBorder="1" applyAlignment="1">
      <alignment horizontal="center" vertical="center" wrapText="1"/>
    </xf>
    <xf numFmtId="0" fontId="0" fillId="9" borderId="17" xfId="0" applyFill="1" applyBorder="1" applyAlignment="1">
      <alignment horizontal="center" vertical="center"/>
    </xf>
    <xf numFmtId="170" fontId="0" fillId="8" borderId="0" xfId="0" applyNumberFormat="1" applyFill="1" applyAlignment="1">
      <alignment horizontal="center" vertical="center"/>
    </xf>
    <xf numFmtId="0" fontId="8" fillId="9" borderId="17" xfId="0" applyFont="1" applyFill="1" applyBorder="1" applyAlignment="1">
      <alignment horizontal="center" vertical="center"/>
    </xf>
    <xf numFmtId="0" fontId="0" fillId="9" borderId="17" xfId="0" applyFill="1" applyBorder="1" applyAlignment="1">
      <alignment horizontal="center" vertical="center" wrapText="1"/>
    </xf>
    <xf numFmtId="0" fontId="0" fillId="8" borderId="0" xfId="0" applyFill="1" applyAlignment="1">
      <alignment horizontal="center" vertical="center"/>
    </xf>
    <xf numFmtId="0" fontId="8" fillId="8" borderId="8" xfId="0" applyFont="1" applyFill="1" applyBorder="1" applyAlignment="1">
      <alignment horizontal="center" vertical="center" wrapText="1"/>
    </xf>
    <xf numFmtId="0" fontId="8" fillId="9" borderId="17" xfId="0" applyFont="1" applyFill="1" applyBorder="1" applyAlignment="1">
      <alignment horizontal="center" vertical="center" wrapText="1"/>
    </xf>
    <xf numFmtId="0" fontId="8" fillId="8" borderId="11" xfId="0" applyFont="1" applyFill="1" applyBorder="1" applyAlignment="1">
      <alignment horizontal="center" vertical="center" wrapText="1"/>
    </xf>
    <xf numFmtId="0" fontId="8" fillId="9" borderId="11" xfId="0" applyFont="1" applyFill="1" applyBorder="1" applyAlignment="1">
      <alignment horizontal="center" vertical="center" wrapText="1"/>
    </xf>
    <xf numFmtId="0" fontId="8" fillId="8" borderId="16" xfId="0" applyFont="1" applyFill="1" applyBorder="1" applyAlignment="1">
      <alignment horizontal="center" vertical="center"/>
    </xf>
    <xf numFmtId="0" fontId="8" fillId="8" borderId="11" xfId="0" applyFont="1" applyFill="1" applyBorder="1" applyAlignment="1">
      <alignment horizontal="center" vertical="center"/>
    </xf>
    <xf numFmtId="169" fontId="0" fillId="8" borderId="16" xfId="0" applyNumberFormat="1" applyFill="1" applyBorder="1" applyAlignment="1">
      <alignment horizontal="center" vertical="center"/>
    </xf>
    <xf numFmtId="169" fontId="0" fillId="9" borderId="11" xfId="0" applyNumberFormat="1" applyFill="1" applyBorder="1" applyAlignment="1">
      <alignment horizontal="center" vertical="center"/>
    </xf>
    <xf numFmtId="0" fontId="0" fillId="8" borderId="11" xfId="0" applyFill="1" applyBorder="1" applyAlignment="1">
      <alignment horizontal="center" vertical="center" wrapText="1"/>
    </xf>
    <xf numFmtId="0" fontId="0" fillId="8" borderId="9" xfId="0" applyFill="1" applyBorder="1" applyAlignment="1">
      <alignment horizontal="center" vertical="center" wrapText="1"/>
    </xf>
    <xf numFmtId="0" fontId="0" fillId="8" borderId="16" xfId="0" applyFill="1" applyBorder="1" applyAlignment="1">
      <alignment horizontal="center" vertical="center" wrapText="1"/>
    </xf>
    <xf numFmtId="0" fontId="0" fillId="9" borderId="12" xfId="0" applyFill="1" applyBorder="1" applyAlignment="1">
      <alignment horizontal="center" vertical="center"/>
    </xf>
    <xf numFmtId="0" fontId="0" fillId="8" borderId="17" xfId="0" applyFill="1" applyBorder="1" applyAlignment="1">
      <alignment horizontal="center" vertical="center" wrapText="1"/>
    </xf>
    <xf numFmtId="0" fontId="10" fillId="10" borderId="11" xfId="0" applyFont="1" applyFill="1" applyBorder="1" applyAlignment="1">
      <alignment horizontal="center" vertical="center"/>
    </xf>
    <xf numFmtId="0" fontId="8" fillId="8" borderId="16" xfId="0" applyFont="1" applyFill="1" applyBorder="1" applyAlignment="1">
      <alignment horizontal="center" vertical="center" wrapText="1"/>
    </xf>
    <xf numFmtId="0" fontId="8" fillId="8" borderId="17" xfId="0" applyFont="1" applyFill="1" applyBorder="1" applyAlignment="1">
      <alignment horizontal="center" vertical="center" wrapText="1"/>
    </xf>
    <xf numFmtId="0" fontId="0" fillId="0" borderId="17" xfId="0" applyBorder="1" applyAlignment="1">
      <alignment horizontal="center" vertical="center" wrapText="1"/>
    </xf>
    <xf numFmtId="0" fontId="8" fillId="0" borderId="11" xfId="0" applyFont="1" applyBorder="1" applyAlignment="1">
      <alignment horizontal="center" vertical="center" wrapText="1"/>
    </xf>
    <xf numFmtId="0" fontId="0" fillId="9" borderId="0" xfId="0" applyFill="1" applyAlignment="1">
      <alignment wrapText="1"/>
    </xf>
    <xf numFmtId="0" fontId="11" fillId="8" borderId="0" xfId="0" applyFont="1" applyFill="1" applyAlignment="1">
      <alignment wrapText="1"/>
    </xf>
    <xf numFmtId="49" fontId="11" fillId="8" borderId="0" xfId="3" applyNumberFormat="1" applyFont="1" applyFill="1" applyBorder="1" applyAlignment="1">
      <alignment wrapText="1"/>
    </xf>
    <xf numFmtId="0" fontId="4" fillId="11" borderId="18" xfId="0" applyFont="1" applyFill="1" applyBorder="1" applyAlignment="1">
      <alignment wrapText="1"/>
    </xf>
    <xf numFmtId="0" fontId="11" fillId="0" borderId="18" xfId="0" applyFont="1" applyBorder="1" applyAlignment="1">
      <alignment wrapText="1"/>
    </xf>
    <xf numFmtId="0" fontId="11" fillId="0" borderId="3" xfId="0" applyFont="1" applyBorder="1" applyAlignment="1">
      <alignment wrapText="1"/>
    </xf>
    <xf numFmtId="0" fontId="0" fillId="9" borderId="0" xfId="0" applyFill="1" applyAlignment="1">
      <alignment horizontal="center" vertical="center" wrapText="1"/>
    </xf>
    <xf numFmtId="0" fontId="8" fillId="9" borderId="0" xfId="0" applyFont="1" applyFill="1" applyAlignment="1">
      <alignment horizontal="center"/>
    </xf>
    <xf numFmtId="0" fontId="7" fillId="8" borderId="0" xfId="0" applyFont="1" applyFill="1" applyAlignment="1">
      <alignment vertical="center"/>
    </xf>
    <xf numFmtId="0" fontId="7" fillId="8" borderId="0" xfId="0" applyFont="1" applyFill="1" applyAlignment="1">
      <alignment horizontal="center" vertical="center"/>
    </xf>
    <xf numFmtId="0" fontId="8" fillId="9" borderId="0" xfId="0" applyFont="1" applyFill="1"/>
    <xf numFmtId="0" fontId="2" fillId="9" borderId="0" xfId="1" applyFill="1" applyBorder="1"/>
    <xf numFmtId="0" fontId="0" fillId="9" borderId="0" xfId="0" applyFill="1" applyAlignment="1">
      <alignment horizontal="left" indent="1"/>
    </xf>
    <xf numFmtId="0" fontId="2" fillId="9" borderId="0" xfId="1" applyFill="1" applyBorder="1" applyAlignment="1">
      <alignment horizontal="left"/>
    </xf>
    <xf numFmtId="0" fontId="8" fillId="8" borderId="0" xfId="0" applyFont="1" applyFill="1"/>
    <xf numFmtId="0" fontId="0" fillId="9" borderId="0" xfId="0" applyFill="1" applyAlignment="1">
      <alignment horizontal="left"/>
    </xf>
    <xf numFmtId="0" fontId="2" fillId="9" borderId="0" xfId="1" applyFill="1"/>
    <xf numFmtId="0" fontId="0" fillId="8" borderId="0" xfId="0" applyFill="1" applyAlignment="1">
      <alignment horizontal="left" indent="1"/>
    </xf>
    <xf numFmtId="0" fontId="23" fillId="8" borderId="0" xfId="5" applyFont="1" applyFill="1">
      <alignment vertical="center"/>
    </xf>
    <xf numFmtId="0" fontId="26" fillId="8" borderId="0" xfId="15" applyFont="1" applyFill="1" applyBorder="1" applyAlignment="1">
      <alignment horizontal="center" vertical="center"/>
    </xf>
    <xf numFmtId="172" fontId="24" fillId="9" borderId="0" xfId="9" applyNumberFormat="1" applyFont="1" applyFill="1" applyBorder="1">
      <alignment horizontal="left" vertical="center" indent="1"/>
    </xf>
    <xf numFmtId="0" fontId="0" fillId="9" borderId="0" xfId="10" applyFont="1" applyFill="1" applyBorder="1" applyAlignment="1">
      <alignment wrapText="1"/>
    </xf>
    <xf numFmtId="172" fontId="24" fillId="9" borderId="0" xfId="10" applyNumberFormat="1" applyFont="1" applyFill="1" applyBorder="1" applyAlignment="1">
      <alignment horizontal="left" vertical="center" indent="1"/>
    </xf>
    <xf numFmtId="172" fontId="18" fillId="9" borderId="0" xfId="9" applyNumberFormat="1" applyFill="1" applyBorder="1">
      <alignment horizontal="left" vertical="center" indent="1"/>
    </xf>
    <xf numFmtId="0" fontId="25" fillId="8" borderId="0" xfId="15" applyFont="1" applyFill="1" applyBorder="1" applyAlignment="1">
      <alignment horizontal="center" vertical="center"/>
    </xf>
    <xf numFmtId="0" fontId="11" fillId="8" borderId="0" xfId="0" applyFont="1" applyFill="1"/>
    <xf numFmtId="0" fontId="15" fillId="9" borderId="0" xfId="0" applyFont="1" applyFill="1"/>
    <xf numFmtId="0" fontId="0" fillId="9" borderId="24" xfId="0" applyFill="1" applyBorder="1"/>
    <xf numFmtId="0" fontId="0" fillId="9" borderId="25" xfId="0" applyFill="1" applyBorder="1"/>
    <xf numFmtId="0" fontId="8" fillId="9" borderId="0" xfId="0" applyFont="1" applyFill="1" applyAlignment="1">
      <alignment vertical="center"/>
    </xf>
    <xf numFmtId="0" fontId="2" fillId="0" borderId="0" xfId="1" applyAlignment="1">
      <alignment wrapText="1"/>
    </xf>
    <xf numFmtId="0" fontId="11" fillId="9" borderId="0" xfId="0" applyFont="1" applyFill="1"/>
    <xf numFmtId="0" fontId="11" fillId="9" borderId="0" xfId="0" applyFont="1" applyFill="1" applyAlignment="1">
      <alignment horizontal="center"/>
    </xf>
    <xf numFmtId="170" fontId="0" fillId="9" borderId="0" xfId="0" applyNumberFormat="1" applyFill="1" applyAlignment="1">
      <alignment horizontal="left" vertical="center"/>
    </xf>
    <xf numFmtId="0" fontId="27" fillId="8" borderId="0" xfId="0" applyFont="1" applyFill="1"/>
    <xf numFmtId="0" fontId="0" fillId="9" borderId="23" xfId="0" applyFill="1" applyBorder="1"/>
    <xf numFmtId="0" fontId="0" fillId="9" borderId="26" xfId="0" applyFill="1" applyBorder="1"/>
    <xf numFmtId="0" fontId="0" fillId="9" borderId="27" xfId="0" applyFill="1" applyBorder="1"/>
    <xf numFmtId="0" fontId="0" fillId="8" borderId="0" xfId="0" applyFill="1" applyAlignment="1">
      <alignment horizontal="left"/>
    </xf>
    <xf numFmtId="0" fontId="2" fillId="9" borderId="0" xfId="1" applyFill="1" applyAlignment="1"/>
    <xf numFmtId="0" fontId="16" fillId="8" borderId="0" xfId="0" applyFont="1" applyFill="1" applyAlignment="1">
      <alignment horizontal="center" vertical="center"/>
    </xf>
    <xf numFmtId="0" fontId="22" fillId="8" borderId="0" xfId="0" applyFont="1" applyFill="1" applyAlignment="1">
      <alignment horizontal="left" vertical="center"/>
    </xf>
    <xf numFmtId="0" fontId="0" fillId="9" borderId="0" xfId="0" applyFill="1" applyAlignment="1">
      <alignment horizontal="center" vertical="center"/>
    </xf>
    <xf numFmtId="170" fontId="0" fillId="9" borderId="0" xfId="0" applyNumberFormat="1" applyFill="1" applyAlignment="1">
      <alignment horizontal="center" vertical="center"/>
    </xf>
    <xf numFmtId="0" fontId="0" fillId="6" borderId="0" xfId="0" applyFill="1" applyAlignment="1">
      <alignment wrapText="1"/>
    </xf>
    <xf numFmtId="0" fontId="11" fillId="9" borderId="0" xfId="0" applyFont="1" applyFill="1" applyAlignment="1">
      <alignment wrapText="1"/>
    </xf>
    <xf numFmtId="0" fontId="8" fillId="8" borderId="0" xfId="0" applyFont="1" applyFill="1" applyAlignment="1">
      <alignment horizontal="center"/>
    </xf>
    <xf numFmtId="0" fontId="33" fillId="8" borderId="0" xfId="0" applyFont="1" applyFill="1"/>
    <xf numFmtId="0" fontId="34" fillId="8" borderId="0" xfId="0" applyFont="1" applyFill="1"/>
    <xf numFmtId="0" fontId="33" fillId="8" borderId="0" xfId="0" applyFont="1" applyFill="1" applyAlignment="1">
      <alignment wrapText="1"/>
    </xf>
    <xf numFmtId="0" fontId="8" fillId="9" borderId="0" xfId="0" applyFont="1" applyFill="1" applyAlignment="1">
      <alignment horizontal="center" wrapText="1"/>
    </xf>
    <xf numFmtId="0" fontId="8" fillId="8" borderId="0" xfId="0" applyFont="1" applyFill="1" applyAlignment="1">
      <alignment horizontal="center" wrapText="1"/>
    </xf>
    <xf numFmtId="0" fontId="2" fillId="9" borderId="0" xfId="1" applyFill="1" applyAlignment="1">
      <alignment wrapText="1"/>
    </xf>
    <xf numFmtId="0" fontId="0" fillId="8" borderId="18" xfId="0" applyFill="1" applyBorder="1" applyAlignment="1">
      <alignment horizontal="left" vertical="center"/>
    </xf>
    <xf numFmtId="170" fontId="0" fillId="8" borderId="18" xfId="0" applyNumberFormat="1" applyFill="1" applyBorder="1" applyAlignment="1">
      <alignment horizontal="left" vertical="center"/>
    </xf>
    <xf numFmtId="0" fontId="2" fillId="0" borderId="0" xfId="1" applyBorder="1" applyAlignment="1">
      <alignment vertical="center" wrapText="1"/>
    </xf>
    <xf numFmtId="174" fontId="11" fillId="0" borderId="0" xfId="3" applyNumberFormat="1" applyFont="1" applyFill="1" applyBorder="1" applyAlignment="1">
      <alignment vertical="center"/>
    </xf>
    <xf numFmtId="0" fontId="2" fillId="0" borderId="0" xfId="1" applyBorder="1" applyAlignment="1">
      <alignment wrapText="1"/>
    </xf>
    <xf numFmtId="0" fontId="0" fillId="9" borderId="18" xfId="0" applyFill="1" applyBorder="1"/>
    <xf numFmtId="0" fontId="11" fillId="0" borderId="0" xfId="0" applyFont="1" applyAlignment="1">
      <alignment horizontal="center"/>
    </xf>
    <xf numFmtId="0" fontId="11" fillId="0" borderId="0" xfId="0" applyFont="1" applyAlignment="1">
      <alignment horizontal="center" vertical="center"/>
    </xf>
    <xf numFmtId="174" fontId="11" fillId="0" borderId="0" xfId="0" applyNumberFormat="1" applyFont="1" applyAlignment="1">
      <alignment vertical="center"/>
    </xf>
    <xf numFmtId="0" fontId="11" fillId="0" borderId="0" xfId="0" applyFont="1" applyAlignment="1">
      <alignment vertical="center" wrapText="1"/>
    </xf>
    <xf numFmtId="0" fontId="11" fillId="0" borderId="9" xfId="0" applyFont="1" applyBorder="1" applyAlignment="1">
      <alignment horizontal="center" vertical="center"/>
    </xf>
    <xf numFmtId="0" fontId="11" fillId="0" borderId="0" xfId="0" applyFont="1" applyAlignment="1">
      <alignment vertical="center"/>
    </xf>
    <xf numFmtId="0" fontId="11" fillId="0" borderId="12" xfId="0" applyFont="1" applyBorder="1" applyAlignment="1">
      <alignment horizontal="center" vertical="center"/>
    </xf>
    <xf numFmtId="0" fontId="30" fillId="0" borderId="0" xfId="0" applyFont="1" applyAlignment="1">
      <alignment wrapText="1"/>
    </xf>
    <xf numFmtId="0" fontId="11" fillId="0" borderId="12" xfId="0" applyFont="1" applyBorder="1" applyAlignment="1">
      <alignment wrapText="1"/>
    </xf>
    <xf numFmtId="0" fontId="33" fillId="0" borderId="0" xfId="0" applyFont="1"/>
    <xf numFmtId="0" fontId="34" fillId="0" borderId="0" xfId="0" applyFont="1"/>
    <xf numFmtId="0" fontId="0" fillId="6" borderId="0" xfId="0" applyFill="1" applyAlignment="1">
      <alignment horizontal="left" wrapText="1"/>
    </xf>
    <xf numFmtId="0" fontId="4" fillId="3" borderId="0" xfId="0" applyFont="1" applyFill="1" applyAlignment="1">
      <alignment horizontal="left" wrapText="1"/>
    </xf>
    <xf numFmtId="0" fontId="11" fillId="5" borderId="0" xfId="0" applyFont="1" applyFill="1" applyAlignment="1">
      <alignment horizontal="left" wrapText="1"/>
    </xf>
    <xf numFmtId="0" fontId="4" fillId="2" borderId="0" xfId="0" applyFont="1" applyFill="1" applyAlignment="1">
      <alignment horizontal="left" wrapText="1"/>
    </xf>
    <xf numFmtId="1" fontId="11" fillId="0" borderId="0" xfId="4" applyNumberFormat="1" applyFont="1" applyFill="1" applyAlignment="1">
      <alignment horizontal="center" vertical="center"/>
    </xf>
    <xf numFmtId="1" fontId="0" fillId="9" borderId="0" xfId="4" applyNumberFormat="1" applyFont="1" applyFill="1" applyAlignment="1">
      <alignment horizontal="center" vertical="center"/>
    </xf>
    <xf numFmtId="1" fontId="11" fillId="9" borderId="0" xfId="4" applyNumberFormat="1" applyFont="1" applyFill="1" applyBorder="1" applyAlignment="1">
      <alignment horizontal="center" vertical="center"/>
    </xf>
    <xf numFmtId="0" fontId="34" fillId="9" borderId="0" xfId="0" applyFont="1" applyFill="1"/>
    <xf numFmtId="1" fontId="11" fillId="9" borderId="0" xfId="4" applyNumberFormat="1" applyFont="1" applyFill="1" applyAlignment="1">
      <alignment horizontal="center" vertical="center"/>
    </xf>
    <xf numFmtId="0" fontId="0" fillId="11" borderId="34" xfId="0" applyFill="1" applyBorder="1"/>
    <xf numFmtId="0" fontId="0" fillId="11" borderId="35" xfId="0" applyFill="1" applyBorder="1"/>
    <xf numFmtId="0" fontId="8" fillId="11" borderId="34" xfId="0" applyFont="1" applyFill="1" applyBorder="1"/>
    <xf numFmtId="0" fontId="8" fillId="11" borderId="35" xfId="0" applyFont="1" applyFill="1" applyBorder="1"/>
    <xf numFmtId="0" fontId="0" fillId="11" borderId="36" xfId="0" applyFill="1" applyBorder="1"/>
    <xf numFmtId="0" fontId="0" fillId="11" borderId="37" xfId="0" applyFill="1" applyBorder="1"/>
    <xf numFmtId="0" fontId="0" fillId="11" borderId="38" xfId="0" applyFill="1" applyBorder="1"/>
    <xf numFmtId="0" fontId="0" fillId="8" borderId="39" xfId="0" applyFill="1" applyBorder="1"/>
    <xf numFmtId="0" fontId="0" fillId="0" borderId="40" xfId="0" applyBorder="1" applyAlignment="1">
      <alignment horizontal="center" vertical="center"/>
    </xf>
    <xf numFmtId="0" fontId="0" fillId="8" borderId="41" xfId="0" applyFill="1" applyBorder="1"/>
    <xf numFmtId="0" fontId="0" fillId="0" borderId="42" xfId="0" applyBorder="1" applyAlignment="1">
      <alignment horizontal="center" vertical="center"/>
    </xf>
    <xf numFmtId="0" fontId="0" fillId="8" borderId="43" xfId="0" applyFill="1" applyBorder="1"/>
    <xf numFmtId="0" fontId="0" fillId="0" borderId="44" xfId="0" applyBorder="1" applyAlignment="1">
      <alignment horizontal="center" vertical="center"/>
    </xf>
    <xf numFmtId="0" fontId="30" fillId="9" borderId="0" xfId="0" applyFont="1" applyFill="1" applyAlignment="1">
      <alignment vertical="center"/>
    </xf>
    <xf numFmtId="0" fontId="30" fillId="9" borderId="0" xfId="0" applyFont="1" applyFill="1" applyAlignment="1">
      <alignment horizontal="center" vertical="center"/>
    </xf>
    <xf numFmtId="0" fontId="30" fillId="9" borderId="0" xfId="0" applyFont="1" applyFill="1" applyAlignment="1">
      <alignment vertical="center" wrapText="1"/>
    </xf>
    <xf numFmtId="173" fontId="30" fillId="9" borderId="0" xfId="0" applyNumberFormat="1" applyFont="1" applyFill="1" applyAlignment="1">
      <alignment vertical="center" wrapText="1"/>
    </xf>
    <xf numFmtId="173" fontId="30" fillId="9" borderId="0" xfId="0" applyNumberFormat="1" applyFont="1" applyFill="1" applyAlignment="1">
      <alignment vertical="center"/>
    </xf>
    <xf numFmtId="0" fontId="30" fillId="8" borderId="0" xfId="0" applyFont="1" applyFill="1" applyAlignment="1">
      <alignment vertical="center"/>
    </xf>
    <xf numFmtId="0" fontId="30" fillId="8" borderId="0" xfId="0" applyFont="1" applyFill="1" applyAlignment="1">
      <alignment horizontal="center" vertical="center"/>
    </xf>
    <xf numFmtId="0" fontId="30" fillId="8" borderId="0" xfId="0" applyFont="1" applyFill="1" applyAlignment="1">
      <alignment vertical="center" wrapText="1"/>
    </xf>
    <xf numFmtId="173" fontId="30" fillId="8" borderId="0" xfId="0" applyNumberFormat="1" applyFont="1" applyFill="1" applyAlignment="1">
      <alignment vertical="center" wrapText="1"/>
    </xf>
    <xf numFmtId="173" fontId="30" fillId="8" borderId="0" xfId="0" applyNumberFormat="1" applyFont="1" applyFill="1" applyAlignment="1">
      <alignment vertical="center"/>
    </xf>
    <xf numFmtId="0" fontId="28" fillId="0" borderId="0" xfId="0" applyFont="1" applyAlignment="1">
      <alignment wrapText="1"/>
    </xf>
    <xf numFmtId="174" fontId="11" fillId="9" borderId="0" xfId="3" applyNumberFormat="1" applyFont="1" applyFill="1" applyBorder="1" applyAlignment="1">
      <alignment vertical="center"/>
    </xf>
    <xf numFmtId="174" fontId="30" fillId="9" borderId="0" xfId="3" applyNumberFormat="1" applyFont="1" applyFill="1" applyBorder="1" applyAlignment="1">
      <alignment vertical="center"/>
    </xf>
    <xf numFmtId="0" fontId="0" fillId="9" borderId="0" xfId="0" applyFill="1" applyAlignment="1">
      <alignment horizontal="center"/>
    </xf>
    <xf numFmtId="0" fontId="0" fillId="9" borderId="0" xfId="0" applyFill="1" applyAlignment="1">
      <alignment horizontal="center" wrapText="1"/>
    </xf>
    <xf numFmtId="49" fontId="11" fillId="9" borderId="0" xfId="3" applyNumberFormat="1" applyFont="1" applyFill="1" applyBorder="1" applyAlignment="1">
      <alignment wrapText="1"/>
    </xf>
    <xf numFmtId="0" fontId="0" fillId="11" borderId="0" xfId="0" applyFill="1"/>
    <xf numFmtId="0" fontId="0" fillId="0" borderId="46" xfId="0" applyBorder="1"/>
    <xf numFmtId="0" fontId="0" fillId="0" borderId="27" xfId="0" applyBorder="1"/>
    <xf numFmtId="0" fontId="0" fillId="9" borderId="47" xfId="0" applyFill="1" applyBorder="1"/>
    <xf numFmtId="0" fontId="0" fillId="9" borderId="48" xfId="0" applyFill="1" applyBorder="1"/>
    <xf numFmtId="0" fontId="31" fillId="9" borderId="0" xfId="0" quotePrefix="1" applyFont="1" applyFill="1" applyAlignment="1">
      <alignment wrapText="1"/>
    </xf>
    <xf numFmtId="0" fontId="42" fillId="9" borderId="0" xfId="0" quotePrefix="1" applyFont="1" applyFill="1" applyAlignment="1">
      <alignment horizontal="center" vertical="center"/>
    </xf>
    <xf numFmtId="0" fontId="41" fillId="9" borderId="0" xfId="0" applyFont="1" applyFill="1" applyAlignment="1">
      <alignment horizontal="center" vertical="center"/>
    </xf>
    <xf numFmtId="0" fontId="0" fillId="8" borderId="18" xfId="0" applyFill="1" applyBorder="1"/>
    <xf numFmtId="49" fontId="11" fillId="0" borderId="4" xfId="3" applyNumberFormat="1" applyFont="1" applyFill="1" applyBorder="1" applyAlignment="1">
      <alignment wrapText="1"/>
    </xf>
    <xf numFmtId="0" fontId="4" fillId="9" borderId="0" xfId="0" applyFont="1" applyFill="1"/>
    <xf numFmtId="0" fontId="33" fillId="8" borderId="0" xfId="0" applyFont="1" applyFill="1" applyAlignment="1">
      <alignment horizontal="center" wrapText="1"/>
    </xf>
    <xf numFmtId="0" fontId="34" fillId="8" borderId="0" xfId="0" applyFont="1" applyFill="1" applyAlignment="1">
      <alignment wrapText="1"/>
    </xf>
    <xf numFmtId="49" fontId="11" fillId="0" borderId="0" xfId="3" applyNumberFormat="1" applyFont="1" applyFill="1" applyBorder="1" applyAlignment="1">
      <alignment wrapText="1"/>
    </xf>
    <xf numFmtId="0" fontId="4" fillId="9" borderId="0" xfId="0" applyFont="1" applyFill="1" applyAlignment="1">
      <alignment horizontal="center" vertical="center" textRotation="90" wrapText="1"/>
    </xf>
    <xf numFmtId="174" fontId="4" fillId="9" borderId="0" xfId="0" applyNumberFormat="1" applyFont="1" applyFill="1"/>
    <xf numFmtId="0" fontId="29" fillId="8" borderId="0" xfId="0" applyFont="1" applyFill="1"/>
    <xf numFmtId="0" fontId="31" fillId="9" borderId="0" xfId="0" applyFont="1" applyFill="1"/>
    <xf numFmtId="0" fontId="37" fillId="9" borderId="0" xfId="1" applyFont="1" applyFill="1" applyAlignment="1"/>
    <xf numFmtId="0" fontId="5" fillId="11" borderId="0" xfId="0" applyFont="1" applyFill="1" applyAlignment="1">
      <alignment horizontal="left" vertical="center"/>
    </xf>
    <xf numFmtId="0" fontId="29" fillId="9" borderId="0" xfId="0" applyFont="1" applyFill="1" applyAlignment="1">
      <alignment horizontal="left" wrapText="1"/>
    </xf>
    <xf numFmtId="0" fontId="0" fillId="9" borderId="0" xfId="0" applyFill="1" applyAlignment="1">
      <alignment horizontal="left" wrapText="1"/>
    </xf>
    <xf numFmtId="0" fontId="2" fillId="0" borderId="28" xfId="1" applyBorder="1" applyAlignment="1">
      <alignment horizontal="left"/>
    </xf>
    <xf numFmtId="0" fontId="0" fillId="9" borderId="28" xfId="0" applyFill="1" applyBorder="1" applyAlignment="1">
      <alignment horizontal="left" vertical="center"/>
    </xf>
    <xf numFmtId="0" fontId="0" fillId="9" borderId="29" xfId="0" applyFill="1" applyBorder="1" applyAlignment="1">
      <alignment horizontal="left" vertical="center"/>
    </xf>
    <xf numFmtId="0" fontId="0" fillId="9" borderId="30" xfId="0" applyFill="1" applyBorder="1" applyAlignment="1">
      <alignment horizontal="left" vertical="center"/>
    </xf>
    <xf numFmtId="170" fontId="0" fillId="9" borderId="28" xfId="0" applyNumberFormat="1" applyFill="1" applyBorder="1" applyAlignment="1">
      <alignment horizontal="left" vertical="center"/>
    </xf>
    <xf numFmtId="170" fontId="0" fillId="9" borderId="29" xfId="0" applyNumberFormat="1" applyFill="1" applyBorder="1" applyAlignment="1">
      <alignment horizontal="left" vertical="center"/>
    </xf>
    <xf numFmtId="170" fontId="0" fillId="9" borderId="30" xfId="0" applyNumberFormat="1" applyFill="1" applyBorder="1" applyAlignment="1">
      <alignment horizontal="left" vertical="center"/>
    </xf>
    <xf numFmtId="0" fontId="10" fillId="10" borderId="28" xfId="0" applyFont="1" applyFill="1" applyBorder="1" applyAlignment="1">
      <alignment horizontal="left" vertical="center"/>
    </xf>
    <xf numFmtId="169" fontId="0" fillId="9" borderId="28" xfId="0" applyNumberFormat="1" applyFill="1" applyBorder="1" applyAlignment="1">
      <alignment horizontal="left" vertical="center"/>
    </xf>
    <xf numFmtId="169" fontId="0" fillId="9" borderId="29" xfId="0" applyNumberFormat="1" applyFill="1" applyBorder="1" applyAlignment="1">
      <alignment horizontal="left" vertical="center"/>
    </xf>
    <xf numFmtId="169" fontId="0" fillId="9" borderId="30" xfId="0" applyNumberFormat="1" applyFill="1" applyBorder="1" applyAlignment="1">
      <alignment horizontal="left" vertical="center"/>
    </xf>
    <xf numFmtId="0" fontId="2" fillId="9" borderId="0" xfId="1" applyFill="1" applyBorder="1" applyAlignment="1">
      <alignment wrapText="1"/>
    </xf>
    <xf numFmtId="0" fontId="26" fillId="9" borderId="0" xfId="15" applyFont="1" applyFill="1" applyBorder="1" applyAlignment="1">
      <alignment horizontal="center" vertical="center"/>
    </xf>
    <xf numFmtId="0" fontId="27" fillId="8" borderId="0" xfId="0" applyFont="1" applyFill="1" applyAlignment="1">
      <alignment horizontal="left" vertical="center" wrapText="1"/>
    </xf>
    <xf numFmtId="0" fontId="6" fillId="9" borderId="0" xfId="0" applyFont="1" applyFill="1"/>
    <xf numFmtId="0" fontId="0" fillId="8" borderId="0" xfId="0" applyFill="1" applyAlignment="1">
      <alignment horizontal="center"/>
    </xf>
    <xf numFmtId="0" fontId="27" fillId="8" borderId="0" xfId="0" applyFont="1" applyFill="1" applyAlignment="1">
      <alignment horizontal="left" vertical="center"/>
    </xf>
    <xf numFmtId="0" fontId="41" fillId="8" borderId="0" xfId="0" applyFont="1" applyFill="1" applyAlignment="1">
      <alignment horizontal="center" vertical="center"/>
    </xf>
    <xf numFmtId="0" fontId="40" fillId="8" borderId="0" xfId="0" applyFont="1" applyFill="1" applyAlignment="1">
      <alignment horizontal="left" vertical="top" wrapText="1"/>
    </xf>
    <xf numFmtId="0" fontId="39" fillId="0" borderId="0" xfId="0" applyFont="1" applyAlignment="1">
      <alignment wrapText="1"/>
    </xf>
    <xf numFmtId="0" fontId="39" fillId="9" borderId="0" xfId="0" applyFont="1" applyFill="1" applyAlignment="1">
      <alignment wrapText="1"/>
    </xf>
    <xf numFmtId="0" fontId="40" fillId="0" borderId="0" xfId="0" applyFont="1" applyAlignment="1">
      <alignment wrapText="1"/>
    </xf>
    <xf numFmtId="169" fontId="40" fillId="0" borderId="0" xfId="0" applyNumberFormat="1" applyFont="1" applyAlignment="1">
      <alignment wrapText="1"/>
    </xf>
    <xf numFmtId="0" fontId="40" fillId="8" borderId="0" xfId="0" applyFont="1" applyFill="1" applyAlignment="1">
      <alignment wrapText="1"/>
    </xf>
    <xf numFmtId="169" fontId="40" fillId="8" borderId="0" xfId="0" applyNumberFormat="1" applyFont="1" applyFill="1" applyAlignment="1">
      <alignment wrapText="1"/>
    </xf>
    <xf numFmtId="0" fontId="0" fillId="0" borderId="40" xfId="0" applyBorder="1"/>
    <xf numFmtId="0" fontId="0" fillId="0" borderId="42" xfId="0" applyBorder="1"/>
    <xf numFmtId="0" fontId="0" fillId="0" borderId="44" xfId="0" applyBorder="1"/>
    <xf numFmtId="0" fontId="29" fillId="8" borderId="0" xfId="0" applyFont="1" applyFill="1" applyAlignment="1">
      <alignment horizontal="left" wrapText="1"/>
    </xf>
    <xf numFmtId="0" fontId="0" fillId="8" borderId="0" xfId="0" applyFill="1" applyAlignment="1">
      <alignment horizontal="left" wrapText="1"/>
    </xf>
    <xf numFmtId="0" fontId="8" fillId="9" borderId="0" xfId="0" applyFont="1" applyFill="1" applyAlignment="1">
      <alignment horizontal="left"/>
    </xf>
    <xf numFmtId="0" fontId="10" fillId="13" borderId="29" xfId="0" applyFont="1" applyFill="1" applyBorder="1" applyAlignment="1">
      <alignment horizontal="left" vertical="center"/>
    </xf>
    <xf numFmtId="0" fontId="10" fillId="13" borderId="30" xfId="0" applyFont="1" applyFill="1" applyBorder="1" applyAlignment="1">
      <alignment horizontal="left" vertical="center"/>
    </xf>
    <xf numFmtId="0" fontId="2" fillId="9" borderId="29" xfId="1" applyFill="1" applyBorder="1" applyAlignment="1">
      <alignment horizontal="left"/>
    </xf>
    <xf numFmtId="0" fontId="2" fillId="9" borderId="30" xfId="1" applyFill="1" applyBorder="1" applyAlignment="1">
      <alignment horizontal="left"/>
    </xf>
    <xf numFmtId="0" fontId="4" fillId="8" borderId="0" xfId="0" applyFont="1" applyFill="1" applyAlignment="1">
      <alignment horizontal="center" vertical="center" textRotation="90" wrapText="1"/>
    </xf>
    <xf numFmtId="0" fontId="4" fillId="8" borderId="0" xfId="0" applyFont="1" applyFill="1"/>
    <xf numFmtId="174" fontId="4" fillId="8" borderId="0" xfId="0" applyNumberFormat="1" applyFont="1" applyFill="1"/>
    <xf numFmtId="0" fontId="0" fillId="9" borderId="18" xfId="0" applyFill="1" applyBorder="1" applyAlignment="1">
      <alignment horizontal="center" vertical="center"/>
    </xf>
    <xf numFmtId="174" fontId="11" fillId="0" borderId="8" xfId="3" applyNumberFormat="1" applyFont="1" applyFill="1" applyBorder="1" applyAlignment="1">
      <alignment vertical="center"/>
    </xf>
    <xf numFmtId="0" fontId="28" fillId="8" borderId="0" xfId="5" applyFont="1" applyFill="1" applyAlignment="1">
      <alignment vertical="center" wrapText="1"/>
    </xf>
    <xf numFmtId="0" fontId="8" fillId="0" borderId="17" xfId="0" applyFont="1" applyBorder="1" applyAlignment="1">
      <alignment horizontal="center" vertical="center" wrapText="1"/>
    </xf>
    <xf numFmtId="0" fontId="0" fillId="4" borderId="11" xfId="0" applyFill="1" applyBorder="1" applyAlignment="1">
      <alignment horizontal="center" vertical="center" wrapText="1"/>
    </xf>
    <xf numFmtId="0" fontId="8" fillId="9" borderId="0" xfId="0" applyFont="1" applyFill="1" applyAlignment="1">
      <alignment horizontal="center" vertical="center" wrapText="1"/>
    </xf>
    <xf numFmtId="0" fontId="10" fillId="13" borderId="0" xfId="0" applyFont="1" applyFill="1" applyAlignment="1">
      <alignment horizontal="center" vertical="center"/>
    </xf>
    <xf numFmtId="0" fontId="27" fillId="9" borderId="0" xfId="0" applyFont="1" applyFill="1" applyAlignment="1">
      <alignment horizontal="left" vertical="center" wrapText="1"/>
    </xf>
    <xf numFmtId="0" fontId="4" fillId="8" borderId="0" xfId="2" applyFont="1" applyFill="1" applyBorder="1" applyAlignment="1">
      <alignment horizontal="center" wrapText="1"/>
    </xf>
    <xf numFmtId="0" fontId="4" fillId="9" borderId="0" xfId="2" applyFont="1" applyFill="1" applyBorder="1" applyAlignment="1">
      <alignment horizontal="center" wrapText="1"/>
    </xf>
    <xf numFmtId="0" fontId="5" fillId="8" borderId="0" xfId="2" applyFont="1" applyFill="1" applyBorder="1" applyAlignment="1"/>
    <xf numFmtId="0" fontId="27" fillId="8" borderId="0" xfId="0" applyFont="1" applyFill="1" applyAlignment="1">
      <alignment vertical="center" wrapText="1"/>
    </xf>
    <xf numFmtId="0" fontId="11" fillId="8" borderId="0" xfId="0" applyFont="1" applyFill="1" applyAlignment="1">
      <alignment horizontal="left" wrapText="1"/>
    </xf>
    <xf numFmtId="0" fontId="11" fillId="9" borderId="0" xfId="0" applyFont="1" applyFill="1" applyAlignment="1">
      <alignment horizontal="left" wrapText="1"/>
    </xf>
    <xf numFmtId="0" fontId="40" fillId="9" borderId="0" xfId="0" applyFont="1" applyFill="1" applyAlignment="1">
      <alignment wrapText="1"/>
    </xf>
    <xf numFmtId="169" fontId="40" fillId="9" borderId="0" xfId="0" applyNumberFormat="1" applyFont="1" applyFill="1" applyAlignment="1">
      <alignment wrapText="1"/>
    </xf>
    <xf numFmtId="0" fontId="15" fillId="8" borderId="0" xfId="0" applyFont="1" applyFill="1"/>
    <xf numFmtId="0" fontId="15" fillId="9" borderId="0" xfId="0" applyFont="1" applyFill="1" applyAlignment="1">
      <alignment wrapText="1"/>
    </xf>
    <xf numFmtId="0" fontId="15" fillId="9" borderId="0" xfId="0" applyFont="1" applyFill="1" applyAlignment="1">
      <alignment horizontal="center" wrapText="1"/>
    </xf>
    <xf numFmtId="0" fontId="0" fillId="9" borderId="0" xfId="0" applyFill="1" applyAlignment="1">
      <alignment horizontal="left" vertical="center"/>
    </xf>
    <xf numFmtId="0" fontId="10" fillId="13" borderId="0" xfId="0" applyFont="1" applyFill="1" applyAlignment="1">
      <alignment horizontal="left" vertical="center"/>
    </xf>
    <xf numFmtId="169" fontId="0" fillId="9" borderId="0" xfId="0" applyNumberFormat="1" applyFill="1" applyAlignment="1">
      <alignment horizontal="left" vertical="center"/>
    </xf>
    <xf numFmtId="0" fontId="0" fillId="9" borderId="18" xfId="0" applyFill="1" applyBorder="1" applyAlignment="1">
      <alignment horizontal="left" vertical="center"/>
    </xf>
    <xf numFmtId="0" fontId="10" fillId="10" borderId="18" xfId="0" applyFont="1" applyFill="1" applyBorder="1" applyAlignment="1">
      <alignment horizontal="left" vertical="center"/>
    </xf>
    <xf numFmtId="169" fontId="0" fillId="9" borderId="18" xfId="0" applyNumberFormat="1" applyFill="1" applyBorder="1" applyAlignment="1">
      <alignment horizontal="left" vertical="center"/>
    </xf>
    <xf numFmtId="170" fontId="0" fillId="9" borderId="18" xfId="0" applyNumberFormat="1" applyFill="1" applyBorder="1" applyAlignment="1">
      <alignment horizontal="left" vertical="center"/>
    </xf>
    <xf numFmtId="0" fontId="2" fillId="0" borderId="18" xfId="1" applyBorder="1" applyAlignment="1">
      <alignment horizontal="left"/>
    </xf>
    <xf numFmtId="166" fontId="0" fillId="0" borderId="0" xfId="4" applyNumberFormat="1" applyFont="1" applyAlignment="1">
      <alignment wrapText="1"/>
    </xf>
    <xf numFmtId="49" fontId="11" fillId="0" borderId="3" xfId="3" applyNumberFormat="1" applyFont="1" applyFill="1" applyBorder="1" applyAlignment="1">
      <alignment wrapText="1"/>
    </xf>
    <xf numFmtId="0" fontId="40" fillId="0" borderId="0" xfId="1" applyFont="1" applyAlignment="1">
      <alignment wrapText="1"/>
    </xf>
    <xf numFmtId="0" fontId="40" fillId="0" borderId="0" xfId="1" applyFont="1" applyFill="1" applyAlignment="1">
      <alignment wrapText="1"/>
    </xf>
    <xf numFmtId="0" fontId="46" fillId="9" borderId="0" xfId="0" applyFont="1" applyFill="1" applyAlignment="1">
      <alignment wrapText="1"/>
    </xf>
    <xf numFmtId="0" fontId="2" fillId="0" borderId="0" xfId="1" quotePrefix="1" applyAlignment="1">
      <alignment wrapText="1"/>
    </xf>
    <xf numFmtId="166" fontId="0" fillId="8" borderId="0" xfId="4" applyNumberFormat="1" applyFont="1" applyFill="1"/>
    <xf numFmtId="0" fontId="13" fillId="8" borderId="0" xfId="2" applyFont="1" applyFill="1" applyBorder="1" applyAlignment="1">
      <alignment horizontal="center" wrapText="1"/>
    </xf>
    <xf numFmtId="0" fontId="0" fillId="5" borderId="0" xfId="0" applyFill="1" applyAlignment="1">
      <alignment wrapText="1"/>
    </xf>
    <xf numFmtId="0" fontId="4" fillId="3" borderId="0" xfId="0" applyFont="1" applyFill="1" applyAlignment="1">
      <alignment wrapText="1"/>
    </xf>
    <xf numFmtId="0" fontId="0" fillId="2" borderId="0" xfId="0" applyFill="1" applyAlignment="1">
      <alignment wrapText="1"/>
    </xf>
    <xf numFmtId="0" fontId="0" fillId="0" borderId="18" xfId="0" applyBorder="1"/>
    <xf numFmtId="1" fontId="0" fillId="9" borderId="18" xfId="0" applyNumberFormat="1" applyFill="1" applyBorder="1" applyAlignment="1">
      <alignment horizontal="left" vertical="center"/>
    </xf>
    <xf numFmtId="0" fontId="40" fillId="0" borderId="18" xfId="0" applyFont="1" applyBorder="1" applyAlignment="1">
      <alignment wrapText="1"/>
    </xf>
    <xf numFmtId="0" fontId="40" fillId="0" borderId="28" xfId="0" applyFont="1" applyBorder="1" applyAlignment="1">
      <alignment wrapText="1"/>
    </xf>
    <xf numFmtId="0" fontId="47" fillId="0" borderId="0" xfId="1" applyFont="1" applyFill="1" applyBorder="1" applyAlignment="1">
      <alignment horizontal="left"/>
    </xf>
    <xf numFmtId="169" fontId="11" fillId="9" borderId="18" xfId="0" applyNumberFormat="1" applyFont="1" applyFill="1" applyBorder="1" applyAlignment="1">
      <alignment horizontal="left" vertical="center"/>
    </xf>
    <xf numFmtId="0" fontId="11" fillId="0" borderId="0" xfId="0" applyFont="1" applyAlignment="1">
      <alignment horizontal="center" wrapText="1"/>
    </xf>
    <xf numFmtId="164" fontId="11" fillId="0" borderId="0" xfId="0" applyNumberFormat="1" applyFont="1" applyAlignment="1">
      <alignment horizontal="center" wrapText="1"/>
    </xf>
    <xf numFmtId="0" fontId="49" fillId="0" borderId="0" xfId="1" applyFont="1" applyFill="1" applyBorder="1" applyAlignment="1">
      <alignment wrapText="1"/>
    </xf>
    <xf numFmtId="168" fontId="11" fillId="0" borderId="0" xfId="0" applyNumberFormat="1" applyFont="1" applyAlignment="1">
      <alignment wrapText="1"/>
    </xf>
    <xf numFmtId="0" fontId="49" fillId="0" borderId="0" xfId="1" applyFont="1" applyFill="1" applyBorder="1" applyAlignment="1">
      <alignment vertical="center" wrapText="1"/>
    </xf>
    <xf numFmtId="0" fontId="4" fillId="8" borderId="0" xfId="0" applyFont="1" applyFill="1" applyAlignment="1">
      <alignment vertical="center"/>
    </xf>
    <xf numFmtId="0" fontId="11" fillId="0" borderId="4" xfId="0" applyFont="1" applyBorder="1" applyAlignment="1">
      <alignment wrapText="1"/>
    </xf>
    <xf numFmtId="166" fontId="11" fillId="0" borderId="3" xfId="0" applyNumberFormat="1" applyFont="1" applyBorder="1" applyAlignment="1">
      <alignment horizontal="center" wrapText="1"/>
    </xf>
    <xf numFmtId="10" fontId="11" fillId="0" borderId="3" xfId="0" applyNumberFormat="1" applyFont="1" applyBorder="1" applyAlignment="1">
      <alignment horizontal="center" wrapText="1"/>
    </xf>
    <xf numFmtId="176" fontId="11" fillId="0" borderId="3" xfId="0" applyNumberFormat="1" applyFont="1" applyBorder="1" applyAlignment="1">
      <alignment horizontal="center" wrapText="1"/>
    </xf>
    <xf numFmtId="9" fontId="11" fillId="0" borderId="3" xfId="0" applyNumberFormat="1" applyFont="1" applyBorder="1" applyAlignment="1">
      <alignment horizontal="center" wrapText="1"/>
    </xf>
    <xf numFmtId="9" fontId="11" fillId="0" borderId="5" xfId="0" applyNumberFormat="1" applyFont="1" applyBorder="1" applyAlignment="1">
      <alignment horizontal="center" wrapText="1"/>
    </xf>
    <xf numFmtId="0" fontId="11" fillId="0" borderId="9" xfId="0" applyFont="1" applyBorder="1" applyAlignment="1">
      <alignment horizontal="center" wrapText="1"/>
    </xf>
    <xf numFmtId="0" fontId="11" fillId="0" borderId="9" xfId="0" applyFont="1" applyBorder="1" applyAlignment="1">
      <alignment wrapText="1"/>
    </xf>
    <xf numFmtId="49" fontId="11" fillId="0" borderId="6" xfId="3" applyNumberFormat="1" applyFont="1" applyFill="1" applyBorder="1" applyAlignment="1">
      <alignment wrapText="1"/>
    </xf>
    <xf numFmtId="0" fontId="11" fillId="0" borderId="1" xfId="0" applyFont="1" applyBorder="1" applyAlignment="1">
      <alignment wrapText="1"/>
    </xf>
    <xf numFmtId="0" fontId="11" fillId="0" borderId="8" xfId="0" applyFont="1" applyBorder="1" applyAlignment="1">
      <alignment wrapText="1"/>
    </xf>
    <xf numFmtId="0" fontId="11" fillId="0" borderId="2" xfId="0" applyFont="1" applyBorder="1" applyAlignment="1">
      <alignment wrapText="1"/>
    </xf>
    <xf numFmtId="0" fontId="11" fillId="0" borderId="5" xfId="0" applyFont="1" applyBorder="1" applyAlignment="1">
      <alignment wrapText="1"/>
    </xf>
    <xf numFmtId="0" fontId="11" fillId="0" borderId="6" xfId="0" applyFont="1" applyBorder="1" applyAlignment="1">
      <alignment wrapText="1"/>
    </xf>
    <xf numFmtId="0" fontId="4" fillId="8" borderId="18" xfId="0" applyFont="1" applyFill="1" applyBorder="1" applyAlignment="1">
      <alignment vertical="center"/>
    </xf>
    <xf numFmtId="0" fontId="36" fillId="0" borderId="0" xfId="0" applyFont="1" applyAlignment="1">
      <alignment horizontal="center" vertical="center" wrapText="1"/>
    </xf>
    <xf numFmtId="10" fontId="11" fillId="0" borderId="0" xfId="0" applyNumberFormat="1" applyFont="1" applyAlignment="1">
      <alignment horizontal="left" wrapText="1"/>
    </xf>
    <xf numFmtId="0" fontId="11" fillId="0" borderId="0" xfId="6" applyFont="1" applyFill="1" applyBorder="1" applyAlignment="1">
      <alignment horizontal="center" vertical="center" wrapText="1"/>
    </xf>
    <xf numFmtId="1" fontId="30" fillId="0" borderId="0" xfId="8" applyFont="1" applyFill="1" applyBorder="1" applyAlignment="1">
      <alignment horizontal="center" vertical="center"/>
    </xf>
    <xf numFmtId="0" fontId="11" fillId="0" borderId="0" xfId="0" applyFont="1" applyAlignment="1">
      <alignment horizontal="left" vertical="center" wrapText="1"/>
    </xf>
    <xf numFmtId="0" fontId="11" fillId="0" borderId="0" xfId="10" applyFont="1" applyFill="1" applyBorder="1" applyAlignment="1">
      <alignment vertical="center" wrapText="1"/>
    </xf>
    <xf numFmtId="0" fontId="11" fillId="0" borderId="0" xfId="10" applyFont="1" applyFill="1" applyBorder="1" applyAlignment="1">
      <alignment horizontal="left" vertical="center" wrapText="1"/>
    </xf>
    <xf numFmtId="0" fontId="30" fillId="0" borderId="0" xfId="16" applyFont="1" applyFill="1" applyBorder="1" applyAlignment="1">
      <alignment horizontal="center"/>
    </xf>
    <xf numFmtId="1" fontId="30" fillId="0" borderId="0" xfId="8" applyFont="1" applyFill="1" applyBorder="1">
      <alignment horizontal="center"/>
    </xf>
    <xf numFmtId="0" fontId="11" fillId="0" borderId="0" xfId="0" applyFont="1" applyAlignment="1">
      <alignment horizontal="left" wrapText="1"/>
    </xf>
    <xf numFmtId="0" fontId="30" fillId="0" borderId="0" xfId="10" applyFont="1" applyFill="1" applyBorder="1" applyAlignment="1">
      <alignment horizontal="center"/>
    </xf>
    <xf numFmtId="1" fontId="30" fillId="0" borderId="0" xfId="10" applyNumberFormat="1" applyFont="1" applyFill="1" applyBorder="1" applyAlignment="1">
      <alignment horizontal="center"/>
    </xf>
    <xf numFmtId="0" fontId="11" fillId="0" borderId="0" xfId="10" applyFont="1" applyFill="1" applyBorder="1" applyAlignment="1">
      <alignment horizontal="left" wrapText="1"/>
    </xf>
    <xf numFmtId="172" fontId="11" fillId="0" borderId="0" xfId="0" applyNumberFormat="1" applyFont="1" applyAlignment="1">
      <alignment horizontal="left" wrapText="1"/>
    </xf>
    <xf numFmtId="0" fontId="11" fillId="9" borderId="0" xfId="11" applyFont="1" applyFill="1" applyBorder="1">
      <alignment horizontal="left" indent="1"/>
    </xf>
    <xf numFmtId="0" fontId="11" fillId="9" borderId="0" xfId="7" applyNumberFormat="1" applyFont="1" applyFill="1" applyBorder="1" applyAlignment="1">
      <alignment horizontal="left" vertical="center" indent="1"/>
    </xf>
    <xf numFmtId="0" fontId="50" fillId="9" borderId="0" xfId="7" applyNumberFormat="1" applyFont="1" applyFill="1" applyBorder="1" applyAlignment="1">
      <alignment horizontal="left" vertical="center" indent="1"/>
    </xf>
    <xf numFmtId="0" fontId="5" fillId="11" borderId="0" xfId="2" applyFont="1" applyFill="1" applyBorder="1" applyAlignment="1">
      <alignment horizontal="center" vertical="center"/>
    </xf>
    <xf numFmtId="0" fontId="5" fillId="11" borderId="0" xfId="15" applyFont="1" applyFill="1" applyBorder="1" applyAlignment="1">
      <alignment horizontal="center" vertical="center"/>
    </xf>
    <xf numFmtId="164" fontId="11" fillId="0" borderId="0" xfId="0" applyNumberFormat="1" applyFont="1" applyAlignment="1">
      <alignment horizontal="left" wrapText="1"/>
    </xf>
    <xf numFmtId="169" fontId="11" fillId="0" borderId="0" xfId="0" applyNumberFormat="1" applyFont="1" applyAlignment="1">
      <alignment wrapText="1"/>
    </xf>
    <xf numFmtId="169" fontId="11" fillId="0" borderId="0" xfId="0" applyNumberFormat="1" applyFont="1" applyAlignment="1">
      <alignment horizontal="left" vertical="center"/>
    </xf>
    <xf numFmtId="1" fontId="11" fillId="0" borderId="0" xfId="0" applyNumberFormat="1" applyFont="1"/>
    <xf numFmtId="1" fontId="11" fillId="0" borderId="0" xfId="0" applyNumberFormat="1" applyFont="1" applyAlignment="1">
      <alignment wrapText="1"/>
    </xf>
    <xf numFmtId="0" fontId="11" fillId="0" borderId="0" xfId="1" applyFont="1" applyFill="1" applyBorder="1" applyAlignment="1">
      <alignment wrapText="1"/>
    </xf>
    <xf numFmtId="174" fontId="11" fillId="0" borderId="0" xfId="0" applyNumberFormat="1" applyFont="1"/>
    <xf numFmtId="166" fontId="11" fillId="0" borderId="0" xfId="4" applyNumberFormat="1" applyFont="1" applyFill="1" applyBorder="1"/>
    <xf numFmtId="0" fontId="11" fillId="0" borderId="0" xfId="0" applyFont="1" applyAlignment="1">
      <alignment horizontal="center" vertical="center" wrapText="1"/>
    </xf>
    <xf numFmtId="0" fontId="11" fillId="0" borderId="1" xfId="0" applyFont="1" applyBorder="1"/>
    <xf numFmtId="0" fontId="11" fillId="0" borderId="8" xfId="0" applyFont="1" applyBorder="1"/>
    <xf numFmtId="0" fontId="11" fillId="0" borderId="8" xfId="0" applyFont="1" applyBorder="1" applyAlignment="1">
      <alignment horizontal="center" vertical="center"/>
    </xf>
    <xf numFmtId="0" fontId="11" fillId="0" borderId="3" xfId="0" applyFont="1" applyBorder="1"/>
    <xf numFmtId="0" fontId="11" fillId="0" borderId="5" xfId="0" applyFont="1" applyBorder="1"/>
    <xf numFmtId="0" fontId="11" fillId="0" borderId="9" xfId="0" applyFont="1" applyBorder="1"/>
    <xf numFmtId="174" fontId="11" fillId="0" borderId="8" xfId="0" applyNumberFormat="1" applyFont="1" applyBorder="1"/>
    <xf numFmtId="174" fontId="11" fillId="0" borderId="8" xfId="0" applyNumberFormat="1" applyFont="1" applyBorder="1" applyAlignment="1">
      <alignment vertical="center"/>
    </xf>
    <xf numFmtId="174" fontId="30" fillId="0" borderId="12" xfId="0" applyNumberFormat="1" applyFont="1" applyBorder="1"/>
    <xf numFmtId="0" fontId="30" fillId="0" borderId="12" xfId="0" applyFont="1" applyBorder="1"/>
    <xf numFmtId="166" fontId="11" fillId="0" borderId="0" xfId="4" applyNumberFormat="1" applyFont="1" applyAlignment="1">
      <alignment horizontal="center" vertical="center"/>
    </xf>
    <xf numFmtId="171" fontId="11" fillId="0" borderId="0" xfId="4" applyNumberFormat="1" applyFont="1" applyAlignment="1">
      <alignment horizontal="center" vertical="center"/>
    </xf>
    <xf numFmtId="9" fontId="11" fillId="0" borderId="0" xfId="4" applyFont="1" applyAlignment="1">
      <alignment horizontal="center" vertical="center"/>
    </xf>
    <xf numFmtId="166" fontId="11" fillId="0" borderId="0" xfId="4" applyNumberFormat="1" applyFont="1" applyAlignment="1">
      <alignment wrapText="1"/>
    </xf>
    <xf numFmtId="1" fontId="11" fillId="0" borderId="0" xfId="4" applyNumberFormat="1" applyFont="1" applyAlignment="1">
      <alignment horizontal="center" vertical="center"/>
    </xf>
    <xf numFmtId="166" fontId="11" fillId="0" borderId="0" xfId="4" applyNumberFormat="1" applyFont="1" applyFill="1" applyBorder="1" applyAlignment="1">
      <alignment horizontal="center" vertical="center"/>
    </xf>
    <xf numFmtId="171" fontId="11" fillId="0" borderId="0" xfId="4" applyNumberFormat="1" applyFont="1" applyFill="1" applyBorder="1" applyAlignment="1">
      <alignment horizontal="center" vertical="center"/>
    </xf>
    <xf numFmtId="1" fontId="11" fillId="0" borderId="0" xfId="4" applyNumberFormat="1" applyFont="1" applyFill="1" applyBorder="1" applyAlignment="1">
      <alignment horizontal="center" vertical="center"/>
    </xf>
    <xf numFmtId="0" fontId="11" fillId="5" borderId="0" xfId="0" applyFont="1" applyFill="1"/>
    <xf numFmtId="166" fontId="11" fillId="0" borderId="0" xfId="4" applyNumberFormat="1" applyFont="1" applyFill="1" applyBorder="1" applyAlignment="1">
      <alignment horizontal="center" wrapText="1"/>
    </xf>
    <xf numFmtId="166" fontId="30" fillId="0" borderId="0" xfId="0" applyNumberFormat="1" applyFont="1" applyAlignment="1">
      <alignment horizontal="center" wrapText="1"/>
    </xf>
    <xf numFmtId="171" fontId="11" fillId="0" borderId="0" xfId="0" applyNumberFormat="1" applyFont="1" applyAlignment="1">
      <alignment horizontal="center" wrapText="1"/>
    </xf>
    <xf numFmtId="0" fontId="30" fillId="0" borderId="0" xfId="0" applyFont="1" applyAlignment="1">
      <alignment horizontal="center" wrapText="1"/>
    </xf>
    <xf numFmtId="166" fontId="11" fillId="0" borderId="0" xfId="0" applyNumberFormat="1" applyFont="1" applyAlignment="1">
      <alignment horizontal="center" wrapText="1"/>
    </xf>
    <xf numFmtId="0" fontId="4" fillId="3" borderId="0" xfId="0" applyFont="1" applyFill="1"/>
    <xf numFmtId="0" fontId="11" fillId="6" borderId="0" xfId="0" applyFont="1" applyFill="1"/>
    <xf numFmtId="0" fontId="11" fillId="2" borderId="0" xfId="0" applyFont="1" applyFill="1"/>
    <xf numFmtId="0" fontId="4" fillId="7" borderId="0" xfId="0" applyFont="1" applyFill="1"/>
    <xf numFmtId="0" fontId="40" fillId="0" borderId="0" xfId="1" applyFont="1" applyBorder="1" applyAlignment="1">
      <alignment wrapText="1"/>
    </xf>
    <xf numFmtId="0" fontId="40" fillId="0" borderId="0" xfId="1" applyFont="1" applyFill="1" applyBorder="1" applyAlignment="1">
      <alignment wrapText="1"/>
    </xf>
    <xf numFmtId="0" fontId="11" fillId="0" borderId="0" xfId="1" applyFont="1" applyFill="1" applyAlignment="1">
      <alignment wrapText="1"/>
    </xf>
    <xf numFmtId="0" fontId="0" fillId="8" borderId="0" xfId="0" applyFill="1" applyAlignment="1">
      <alignment horizontal="left" vertical="center"/>
    </xf>
    <xf numFmtId="0" fontId="0" fillId="0" borderId="0" xfId="0" applyAlignment="1">
      <alignment horizontal="center" vertical="center" wrapText="1"/>
    </xf>
    <xf numFmtId="0" fontId="2" fillId="0" borderId="26" xfId="1" applyBorder="1"/>
    <xf numFmtId="0" fontId="22" fillId="9" borderId="0" xfId="0" applyFont="1" applyFill="1" applyAlignment="1">
      <alignment horizontal="left" vertical="center"/>
    </xf>
    <xf numFmtId="0" fontId="12" fillId="9" borderId="0" xfId="0" applyFont="1" applyFill="1"/>
    <xf numFmtId="0" fontId="0" fillId="9" borderId="57" xfId="0" applyFill="1" applyBorder="1"/>
    <xf numFmtId="0" fontId="4" fillId="9" borderId="0" xfId="0" applyFont="1" applyFill="1" applyAlignment="1">
      <alignment vertical="center" textRotation="90" wrapText="1"/>
    </xf>
    <xf numFmtId="0" fontId="12" fillId="0" borderId="0" xfId="0" applyFont="1"/>
    <xf numFmtId="166" fontId="11" fillId="0" borderId="0" xfId="4" applyNumberFormat="1" applyFont="1" applyFill="1" applyBorder="1" applyAlignment="1">
      <alignment horizontal="center"/>
    </xf>
    <xf numFmtId="170" fontId="0" fillId="8" borderId="0" xfId="0" applyNumberFormat="1" applyFill="1" applyAlignment="1">
      <alignment horizontal="left" vertical="center"/>
    </xf>
    <xf numFmtId="0" fontId="32" fillId="0" borderId="0" xfId="0" applyFont="1" applyAlignment="1">
      <alignment wrapText="1"/>
    </xf>
    <xf numFmtId="0" fontId="0" fillId="9" borderId="18" xfId="0" applyFill="1" applyBorder="1" applyAlignment="1">
      <alignment horizontal="center"/>
    </xf>
    <xf numFmtId="0" fontId="2" fillId="9" borderId="0" xfId="1" applyFill="1" applyAlignment="1">
      <alignment horizontal="left"/>
    </xf>
    <xf numFmtId="0" fontId="2" fillId="9" borderId="57" xfId="1" applyFill="1" applyBorder="1"/>
    <xf numFmtId="0" fontId="2" fillId="0" borderId="57" xfId="1" applyBorder="1"/>
    <xf numFmtId="0" fontId="2" fillId="0" borderId="23" xfId="1" applyBorder="1"/>
    <xf numFmtId="0" fontId="55" fillId="8" borderId="0" xfId="0" applyFont="1" applyFill="1"/>
    <xf numFmtId="0" fontId="55" fillId="9" borderId="0" xfId="0" applyFont="1" applyFill="1"/>
    <xf numFmtId="0" fontId="7" fillId="0" borderId="0" xfId="0" applyFont="1"/>
    <xf numFmtId="0" fontId="58" fillId="0" borderId="0" xfId="0" applyFont="1"/>
    <xf numFmtId="0" fontId="2" fillId="0" borderId="27" xfId="1" applyBorder="1"/>
    <xf numFmtId="0" fontId="11" fillId="0" borderId="0" xfId="1" applyFont="1" applyAlignment="1">
      <alignment wrapText="1"/>
    </xf>
    <xf numFmtId="0" fontId="2" fillId="0" borderId="46" xfId="1" applyBorder="1"/>
    <xf numFmtId="0" fontId="2" fillId="0" borderId="0" xfId="1" quotePrefix="1" applyAlignment="1">
      <alignment horizontal="center" vertical="center" wrapText="1"/>
    </xf>
    <xf numFmtId="0" fontId="35" fillId="9" borderId="0" xfId="0" applyFont="1" applyFill="1" applyAlignment="1">
      <alignment horizontal="center"/>
    </xf>
    <xf numFmtId="0" fontId="36" fillId="9" borderId="0" xfId="0" applyFont="1" applyFill="1" applyAlignment="1">
      <alignment horizontal="left" wrapText="1"/>
    </xf>
    <xf numFmtId="0" fontId="11" fillId="13" borderId="18" xfId="0" applyFont="1" applyFill="1" applyBorder="1" applyAlignment="1">
      <alignment horizontal="left" vertical="center"/>
    </xf>
    <xf numFmtId="0" fontId="10" fillId="9" borderId="0" xfId="0" applyFont="1" applyFill="1" applyAlignment="1">
      <alignment horizontal="center" vertical="center"/>
    </xf>
    <xf numFmtId="169" fontId="0" fillId="9" borderId="0" xfId="0" applyNumberFormat="1" applyFill="1" applyAlignment="1">
      <alignment horizontal="center" vertical="center"/>
    </xf>
    <xf numFmtId="0" fontId="36" fillId="9" borderId="0" xfId="0" applyFont="1" applyFill="1" applyAlignment="1">
      <alignment horizontal="center"/>
    </xf>
    <xf numFmtId="0" fontId="36" fillId="6" borderId="28" xfId="0" applyFont="1" applyFill="1" applyBorder="1" applyAlignment="1">
      <alignment horizontal="left" wrapText="1"/>
    </xf>
    <xf numFmtId="0" fontId="36" fillId="2" borderId="28" xfId="0" applyFont="1" applyFill="1" applyBorder="1" applyAlignment="1">
      <alignment horizontal="left" wrapText="1"/>
    </xf>
    <xf numFmtId="0" fontId="0" fillId="0" borderId="0" xfId="0" applyAlignment="1">
      <alignment horizontal="center" vertical="center"/>
    </xf>
    <xf numFmtId="10" fontId="11" fillId="0" borderId="0" xfId="0" applyNumberFormat="1" applyFont="1" applyAlignment="1">
      <alignment wrapText="1"/>
    </xf>
    <xf numFmtId="0" fontId="2" fillId="9" borderId="0" xfId="1" quotePrefix="1" applyFill="1" applyAlignment="1"/>
    <xf numFmtId="0" fontId="0" fillId="0" borderId="60" xfId="0" applyBorder="1"/>
    <xf numFmtId="0" fontId="11" fillId="0" borderId="60" xfId="0" applyFont="1" applyBorder="1" applyAlignment="1">
      <alignment wrapText="1"/>
    </xf>
    <xf numFmtId="0" fontId="10" fillId="10" borderId="60" xfId="0" applyFont="1" applyFill="1" applyBorder="1" applyAlignment="1">
      <alignment horizontal="left" vertical="center"/>
    </xf>
    <xf numFmtId="0" fontId="11" fillId="0" borderId="62" xfId="0" applyFont="1" applyBorder="1" applyAlignment="1">
      <alignment horizontal="center" vertical="center"/>
    </xf>
    <xf numFmtId="0" fontId="11" fillId="0" borderId="62" xfId="0" applyFont="1" applyBorder="1" applyAlignment="1">
      <alignment horizontal="left" vertical="center" wrapText="1"/>
    </xf>
    <xf numFmtId="166" fontId="2" fillId="0" borderId="0" xfId="1" applyNumberFormat="1" applyBorder="1" applyAlignment="1">
      <alignment horizontal="center" vertical="center"/>
    </xf>
    <xf numFmtId="9" fontId="11" fillId="0" borderId="0" xfId="4" applyFont="1" applyFill="1" applyBorder="1" applyAlignment="1">
      <alignment horizontal="center"/>
    </xf>
    <xf numFmtId="0" fontId="4" fillId="3" borderId="0" xfId="0" applyFont="1" applyFill="1" applyAlignment="1">
      <alignment horizontal="center" vertical="center" wrapText="1"/>
    </xf>
    <xf numFmtId="0" fontId="30" fillId="0" borderId="11" xfId="0" applyFont="1" applyBorder="1" applyAlignment="1">
      <alignment horizontal="center" vertical="center" wrapText="1"/>
    </xf>
    <xf numFmtId="0" fontId="11" fillId="0" borderId="61" xfId="0" applyFont="1" applyBorder="1" applyAlignment="1">
      <alignment horizontal="center" vertical="center" wrapText="1"/>
    </xf>
    <xf numFmtId="174" fontId="30" fillId="0" borderId="1" xfId="0" applyNumberFormat="1" applyFont="1" applyBorder="1"/>
    <xf numFmtId="174" fontId="30" fillId="0" borderId="3" xfId="0" applyNumberFormat="1" applyFont="1" applyBorder="1"/>
    <xf numFmtId="174" fontId="30" fillId="0" borderId="16" xfId="0" applyNumberFormat="1" applyFont="1" applyBorder="1"/>
    <xf numFmtId="0" fontId="0" fillId="0" borderId="52" xfId="0" applyBorder="1"/>
    <xf numFmtId="0" fontId="11" fillId="0" borderId="24" xfId="0" applyFont="1" applyBorder="1" applyAlignment="1">
      <alignment wrapText="1"/>
    </xf>
    <xf numFmtId="0" fontId="11" fillId="0" borderId="65" xfId="0" applyFont="1" applyBorder="1" applyAlignment="1">
      <alignment wrapText="1"/>
    </xf>
    <xf numFmtId="0" fontId="11" fillId="0" borderId="66" xfId="0" applyFont="1" applyBorder="1" applyAlignment="1">
      <alignment wrapText="1"/>
    </xf>
    <xf numFmtId="0" fontId="11" fillId="0" borderId="67" xfId="0" applyFont="1" applyBorder="1" applyAlignment="1">
      <alignment wrapText="1"/>
    </xf>
    <xf numFmtId="0" fontId="34" fillId="8" borderId="0" xfId="0" applyFont="1" applyFill="1" applyAlignment="1">
      <alignment horizontal="center" vertical="center"/>
    </xf>
    <xf numFmtId="0" fontId="11" fillId="0" borderId="60" xfId="0" applyFont="1" applyBorder="1"/>
    <xf numFmtId="0" fontId="0" fillId="0" borderId="68" xfId="0" applyBorder="1"/>
    <xf numFmtId="0" fontId="30" fillId="2" borderId="10" xfId="0" applyFont="1" applyFill="1" applyBorder="1" applyAlignment="1">
      <alignment wrapText="1"/>
    </xf>
    <xf numFmtId="0" fontId="30" fillId="2" borderId="10" xfId="0" applyFont="1" applyFill="1" applyBorder="1"/>
    <xf numFmtId="166" fontId="30" fillId="2" borderId="10" xfId="4" applyNumberFormat="1" applyFont="1" applyFill="1" applyBorder="1" applyAlignment="1">
      <alignment horizontal="center" vertical="center"/>
    </xf>
    <xf numFmtId="171" fontId="30" fillId="2" borderId="10" xfId="4" applyNumberFormat="1" applyFont="1" applyFill="1" applyBorder="1" applyAlignment="1">
      <alignment horizontal="center" vertical="center"/>
    </xf>
    <xf numFmtId="175" fontId="30" fillId="2" borderId="10" xfId="4" applyNumberFormat="1" applyFont="1" applyFill="1" applyBorder="1" applyAlignment="1">
      <alignment horizontal="center" vertical="center"/>
    </xf>
    <xf numFmtId="9" fontId="30" fillId="2" borderId="10" xfId="4" applyFont="1" applyFill="1" applyBorder="1" applyAlignment="1">
      <alignment horizontal="center" vertical="center"/>
    </xf>
    <xf numFmtId="1" fontId="30" fillId="2" borderId="10" xfId="4" applyNumberFormat="1" applyFont="1" applyFill="1" applyBorder="1" applyAlignment="1">
      <alignment horizontal="center" vertical="center"/>
    </xf>
    <xf numFmtId="0" fontId="30" fillId="5" borderId="10" xfId="0" applyFont="1" applyFill="1" applyBorder="1" applyAlignment="1">
      <alignment wrapText="1"/>
    </xf>
    <xf numFmtId="0" fontId="30" fillId="5" borderId="10" xfId="0" applyFont="1" applyFill="1" applyBorder="1"/>
    <xf numFmtId="166" fontId="30" fillId="5" borderId="10" xfId="4" applyNumberFormat="1" applyFont="1" applyFill="1" applyBorder="1" applyAlignment="1">
      <alignment horizontal="center" vertical="center"/>
    </xf>
    <xf numFmtId="171" fontId="30" fillId="5" borderId="10" xfId="4" applyNumberFormat="1" applyFont="1" applyFill="1" applyBorder="1" applyAlignment="1">
      <alignment horizontal="center" vertical="center"/>
    </xf>
    <xf numFmtId="175" fontId="30" fillId="5" borderId="10" xfId="4" applyNumberFormat="1" applyFont="1" applyFill="1" applyBorder="1" applyAlignment="1">
      <alignment horizontal="center" vertical="center"/>
    </xf>
    <xf numFmtId="9" fontId="30" fillId="5" borderId="10" xfId="4" applyFont="1" applyFill="1" applyBorder="1" applyAlignment="1">
      <alignment horizontal="center" vertical="center"/>
    </xf>
    <xf numFmtId="1" fontId="30" fillId="5" borderId="10" xfId="4" applyNumberFormat="1" applyFont="1" applyFill="1" applyBorder="1" applyAlignment="1">
      <alignment horizontal="center" vertical="center"/>
    </xf>
    <xf numFmtId="166" fontId="11" fillId="0" borderId="0" xfId="4" applyNumberFormat="1" applyFont="1" applyFill="1" applyBorder="1" applyAlignment="1">
      <alignment wrapText="1"/>
    </xf>
    <xf numFmtId="176" fontId="11" fillId="0" borderId="0" xfId="4" applyNumberFormat="1" applyFont="1" applyFill="1" applyBorder="1" applyAlignment="1">
      <alignment horizontal="center" vertical="center"/>
    </xf>
    <xf numFmtId="177" fontId="11" fillId="0" borderId="0" xfId="4" applyNumberFormat="1" applyFont="1" applyFill="1" applyBorder="1" applyAlignment="1">
      <alignment horizontal="center" vertical="center"/>
    </xf>
    <xf numFmtId="176" fontId="11" fillId="9" borderId="0" xfId="4" applyNumberFormat="1" applyFont="1" applyFill="1" applyBorder="1" applyAlignment="1">
      <alignment horizontal="center" vertical="center"/>
    </xf>
    <xf numFmtId="9" fontId="11" fillId="9" borderId="0" xfId="4" applyFont="1" applyFill="1" applyBorder="1" applyAlignment="1">
      <alignment horizontal="center" vertical="center"/>
    </xf>
    <xf numFmtId="0" fontId="11" fillId="5" borderId="0" xfId="0" applyFont="1" applyFill="1" applyAlignment="1">
      <alignment wrapText="1"/>
    </xf>
    <xf numFmtId="166" fontId="11" fillId="5" borderId="0" xfId="4" applyNumberFormat="1" applyFont="1" applyFill="1" applyBorder="1" applyAlignment="1">
      <alignment horizontal="center" vertical="center"/>
    </xf>
    <xf numFmtId="177" fontId="11" fillId="5" borderId="0" xfId="4" applyNumberFormat="1" applyFont="1" applyFill="1" applyBorder="1" applyAlignment="1">
      <alignment horizontal="center" vertical="center"/>
    </xf>
    <xf numFmtId="176" fontId="11" fillId="5" borderId="0" xfId="4" applyNumberFormat="1" applyFont="1" applyFill="1" applyBorder="1" applyAlignment="1">
      <alignment horizontal="center" vertical="center"/>
    </xf>
    <xf numFmtId="0" fontId="34" fillId="8" borderId="0" xfId="0" applyFont="1" applyFill="1" applyAlignment="1">
      <alignment horizontal="center"/>
    </xf>
    <xf numFmtId="0" fontId="28" fillId="0" borderId="71" xfId="0" applyFont="1" applyBorder="1" applyAlignment="1">
      <alignment wrapText="1"/>
    </xf>
    <xf numFmtId="166" fontId="2" fillId="0" borderId="71" xfId="1" applyNumberFormat="1" applyBorder="1" applyAlignment="1">
      <alignment horizontal="center" vertical="center"/>
    </xf>
    <xf numFmtId="0" fontId="11" fillId="0" borderId="71" xfId="0" applyFont="1" applyBorder="1" applyAlignment="1">
      <alignment wrapText="1"/>
    </xf>
    <xf numFmtId="0" fontId="11" fillId="0" borderId="71" xfId="0" applyFont="1" applyBorder="1" applyAlignment="1">
      <alignment horizontal="center" vertical="center"/>
    </xf>
    <xf numFmtId="0" fontId="11" fillId="0" borderId="71" xfId="0" applyFont="1" applyBorder="1" applyAlignment="1">
      <alignment horizontal="center"/>
    </xf>
    <xf numFmtId="0" fontId="11" fillId="0" borderId="71" xfId="0" applyFont="1" applyBorder="1"/>
    <xf numFmtId="0" fontId="11" fillId="0" borderId="71" xfId="0" applyFont="1" applyBorder="1" applyAlignment="1">
      <alignment vertical="center" wrapText="1"/>
    </xf>
    <xf numFmtId="0" fontId="2" fillId="0" borderId="71" xfId="1" applyBorder="1" applyAlignment="1">
      <alignment vertical="center" wrapText="1"/>
    </xf>
    <xf numFmtId="0" fontId="11" fillId="0" borderId="72" xfId="0" applyFont="1" applyBorder="1" applyAlignment="1">
      <alignment horizontal="center" vertical="center"/>
    </xf>
    <xf numFmtId="0" fontId="11" fillId="0" borderId="73" xfId="0" applyFont="1" applyBorder="1" applyAlignment="1">
      <alignment horizontal="center" vertical="center"/>
    </xf>
    <xf numFmtId="174" fontId="11" fillId="0" borderId="72" xfId="0" applyNumberFormat="1" applyFont="1" applyBorder="1"/>
    <xf numFmtId="174" fontId="11" fillId="0" borderId="71" xfId="0" applyNumberFormat="1" applyFont="1" applyBorder="1"/>
    <xf numFmtId="174" fontId="30" fillId="0" borderId="74" xfId="0" applyNumberFormat="1" applyFont="1" applyBorder="1"/>
    <xf numFmtId="0" fontId="0" fillId="9" borderId="69" xfId="0" applyFill="1" applyBorder="1" applyAlignment="1">
      <alignment horizontal="center" vertical="center"/>
    </xf>
    <xf numFmtId="0" fontId="11" fillId="0" borderId="76" xfId="0" applyFont="1" applyBorder="1"/>
    <xf numFmtId="166" fontId="2" fillId="0" borderId="76" xfId="1" applyNumberFormat="1" applyBorder="1" applyAlignment="1">
      <alignment vertical="center"/>
    </xf>
    <xf numFmtId="0" fontId="11" fillId="0" borderId="76" xfId="0" applyFont="1" applyBorder="1" applyAlignment="1">
      <alignment wrapText="1"/>
    </xf>
    <xf numFmtId="0" fontId="11" fillId="0" borderId="76" xfId="0" applyFont="1" applyBorder="1" applyAlignment="1">
      <alignment horizontal="center" vertical="center"/>
    </xf>
    <xf numFmtId="0" fontId="11" fillId="0" borderId="76" xfId="0" applyFont="1" applyBorder="1" applyAlignment="1">
      <alignment horizontal="center"/>
    </xf>
    <xf numFmtId="0" fontId="11" fillId="0" borderId="76" xfId="0" applyFont="1" applyBorder="1" applyAlignment="1">
      <alignment vertical="center" wrapText="1"/>
    </xf>
    <xf numFmtId="0" fontId="11" fillId="0" borderId="77" xfId="0" applyFont="1" applyBorder="1" applyAlignment="1">
      <alignment horizontal="center" vertical="center"/>
    </xf>
    <xf numFmtId="0" fontId="11" fillId="0" borderId="78" xfId="0" applyFont="1" applyBorder="1" applyAlignment="1">
      <alignment horizontal="center" vertical="center"/>
    </xf>
    <xf numFmtId="174" fontId="11" fillId="0" borderId="77" xfId="0" applyNumberFormat="1" applyFont="1" applyBorder="1"/>
    <xf numFmtId="174" fontId="11" fillId="0" borderId="76" xfId="0" applyNumberFormat="1" applyFont="1" applyBorder="1"/>
    <xf numFmtId="174" fontId="30" fillId="0" borderId="79" xfId="0" applyNumberFormat="1" applyFont="1" applyBorder="1"/>
    <xf numFmtId="0" fontId="11" fillId="0" borderId="75" xfId="0" applyFont="1" applyBorder="1" applyAlignment="1">
      <alignment horizontal="center" vertical="center" wrapText="1"/>
    </xf>
    <xf numFmtId="0" fontId="11" fillId="0" borderId="70" xfId="0" applyFont="1" applyBorder="1" applyAlignment="1">
      <alignment horizontal="center" vertical="center" wrapText="1"/>
    </xf>
    <xf numFmtId="0" fontId="11" fillId="0" borderId="80" xfId="0" applyFont="1" applyBorder="1"/>
    <xf numFmtId="0" fontId="11" fillId="0" borderId="81" xfId="0" applyFont="1" applyBorder="1"/>
    <xf numFmtId="0" fontId="11" fillId="0" borderId="81" xfId="0" applyFont="1" applyBorder="1" applyAlignment="1">
      <alignment horizontal="left" vertical="center" wrapText="1"/>
    </xf>
    <xf numFmtId="0" fontId="11" fillId="0" borderId="82" xfId="0" applyFont="1" applyBorder="1" applyAlignment="1">
      <alignment horizontal="left" vertical="center" wrapText="1"/>
    </xf>
    <xf numFmtId="0" fontId="11" fillId="0" borderId="83" xfId="0" applyFont="1" applyBorder="1" applyAlignment="1">
      <alignment horizontal="left" vertical="center" wrapText="1"/>
    </xf>
    <xf numFmtId="0" fontId="11" fillId="0" borderId="81" xfId="0" applyFont="1" applyBorder="1" applyAlignment="1">
      <alignment horizontal="center" vertical="center"/>
    </xf>
    <xf numFmtId="0" fontId="0" fillId="0" borderId="84" xfId="0" applyBorder="1"/>
    <xf numFmtId="0" fontId="11" fillId="0" borderId="85" xfId="0" applyFont="1" applyBorder="1"/>
    <xf numFmtId="0" fontId="11" fillId="0" borderId="86" xfId="0" applyFont="1" applyBorder="1" applyAlignment="1">
      <alignment wrapText="1"/>
    </xf>
    <xf numFmtId="0" fontId="10" fillId="10" borderId="86" xfId="0" applyFont="1" applyFill="1" applyBorder="1" applyAlignment="1">
      <alignment horizontal="left" vertical="center"/>
    </xf>
    <xf numFmtId="0" fontId="10" fillId="10" borderId="87" xfId="0" applyFont="1" applyFill="1" applyBorder="1" applyAlignment="1">
      <alignment horizontal="left" vertical="center"/>
    </xf>
    <xf numFmtId="0" fontId="10" fillId="10" borderId="88" xfId="0" applyFont="1" applyFill="1" applyBorder="1" applyAlignment="1">
      <alignment horizontal="left" vertical="center"/>
    </xf>
    <xf numFmtId="0" fontId="0" fillId="0" borderId="86" xfId="0" applyBorder="1"/>
    <xf numFmtId="0" fontId="0" fillId="0" borderId="89" xfId="0" applyBorder="1"/>
    <xf numFmtId="0" fontId="2" fillId="0" borderId="76" xfId="1" applyBorder="1" applyAlignment="1">
      <alignment wrapText="1"/>
    </xf>
    <xf numFmtId="174" fontId="11" fillId="0" borderId="76" xfId="0" applyNumberFormat="1" applyFont="1" applyBorder="1" applyAlignment="1">
      <alignment horizontal="center" vertical="center"/>
    </xf>
    <xf numFmtId="174" fontId="11" fillId="0" borderId="71" xfId="0" applyNumberFormat="1" applyFont="1" applyBorder="1" applyAlignment="1">
      <alignment horizontal="center" vertical="center"/>
    </xf>
    <xf numFmtId="0" fontId="11" fillId="0" borderId="12" xfId="0" applyFont="1" applyBorder="1"/>
    <xf numFmtId="0" fontId="11" fillId="0" borderId="90" xfId="0" applyFont="1" applyBorder="1" applyAlignment="1">
      <alignment horizontal="center" vertical="center"/>
    </xf>
    <xf numFmtId="0" fontId="11" fillId="0" borderId="91" xfId="0" applyFont="1" applyBorder="1" applyAlignment="1">
      <alignment horizontal="center" vertical="center"/>
    </xf>
    <xf numFmtId="0" fontId="11" fillId="0" borderId="92" xfId="0" applyFont="1" applyBorder="1" applyAlignment="1">
      <alignment wrapText="1"/>
    </xf>
    <xf numFmtId="174" fontId="11" fillId="0" borderId="90" xfId="0" applyNumberFormat="1" applyFont="1" applyBorder="1" applyAlignment="1">
      <alignment horizontal="center" vertical="center"/>
    </xf>
    <xf numFmtId="174" fontId="11" fillId="0" borderId="91" xfId="0" applyNumberFormat="1" applyFont="1" applyBorder="1" applyAlignment="1">
      <alignment horizontal="center" vertical="center"/>
    </xf>
    <xf numFmtId="0" fontId="2" fillId="0" borderId="12" xfId="1" applyBorder="1" applyAlignment="1">
      <alignment wrapText="1"/>
    </xf>
    <xf numFmtId="0" fontId="30" fillId="0" borderId="16" xfId="0" applyFont="1" applyBorder="1"/>
    <xf numFmtId="0" fontId="30" fillId="0" borderId="8" xfId="0" applyFont="1" applyBorder="1"/>
    <xf numFmtId="0" fontId="11" fillId="0" borderId="62" xfId="0" applyFont="1" applyBorder="1"/>
    <xf numFmtId="0" fontId="30" fillId="0" borderId="13" xfId="0" applyFont="1" applyBorder="1" applyAlignment="1">
      <alignment horizontal="center" vertical="center" wrapText="1"/>
    </xf>
    <xf numFmtId="0" fontId="2" fillId="0" borderId="91" xfId="1" applyBorder="1" applyAlignment="1">
      <alignment wrapText="1"/>
    </xf>
    <xf numFmtId="0" fontId="2" fillId="0" borderId="100" xfId="1" applyBorder="1" applyAlignment="1">
      <alignment wrapText="1"/>
    </xf>
    <xf numFmtId="0" fontId="2" fillId="0" borderId="24" xfId="1" applyBorder="1" applyAlignment="1">
      <alignment wrapText="1"/>
    </xf>
    <xf numFmtId="0" fontId="11" fillId="0" borderId="93" xfId="0" applyFont="1" applyBorder="1" applyAlignment="1">
      <alignment horizontal="center" vertical="center"/>
    </xf>
    <xf numFmtId="0" fontId="30" fillId="0" borderId="3" xfId="0" applyFont="1" applyBorder="1"/>
    <xf numFmtId="0" fontId="30" fillId="0" borderId="99" xfId="0" applyFont="1" applyBorder="1"/>
    <xf numFmtId="0" fontId="30" fillId="0" borderId="99" xfId="0" applyFont="1" applyBorder="1" applyAlignment="1">
      <alignment wrapText="1"/>
    </xf>
    <xf numFmtId="0" fontId="2" fillId="0" borderId="101" xfId="1" applyBorder="1" applyAlignment="1">
      <alignment wrapText="1"/>
    </xf>
    <xf numFmtId="0" fontId="0" fillId="11" borderId="31" xfId="0" applyFill="1" applyBorder="1"/>
    <xf numFmtId="0" fontId="0" fillId="11" borderId="32" xfId="0" applyFill="1" applyBorder="1"/>
    <xf numFmtId="0" fontId="0" fillId="11" borderId="33" xfId="0" applyFill="1" applyBorder="1"/>
    <xf numFmtId="0" fontId="8" fillId="8" borderId="0" xfId="0" applyFont="1" applyFill="1" applyAlignment="1">
      <alignment horizontal="left"/>
    </xf>
    <xf numFmtId="0" fontId="0" fillId="8" borderId="34" xfId="0" applyFill="1" applyBorder="1"/>
    <xf numFmtId="0" fontId="0" fillId="8" borderId="31" xfId="0" applyFill="1" applyBorder="1"/>
    <xf numFmtId="0" fontId="0" fillId="11" borderId="97" xfId="0" applyFill="1" applyBorder="1"/>
    <xf numFmtId="0" fontId="8" fillId="11" borderId="97" xfId="0" applyFont="1" applyFill="1" applyBorder="1"/>
    <xf numFmtId="0" fontId="0" fillId="11" borderId="98" xfId="0" applyFill="1" applyBorder="1"/>
    <xf numFmtId="0" fontId="2" fillId="0" borderId="48" xfId="1" applyBorder="1"/>
    <xf numFmtId="0" fontId="34" fillId="8" borderId="0" xfId="0" applyFont="1" applyFill="1" applyAlignment="1">
      <alignment horizontal="left" indent="1"/>
    </xf>
    <xf numFmtId="0" fontId="2" fillId="0" borderId="0" xfId="1" applyAlignment="1">
      <alignment horizontal="center" vertical="center"/>
    </xf>
    <xf numFmtId="0" fontId="5" fillId="11" borderId="0" xfId="0" applyFont="1" applyFill="1" applyAlignment="1">
      <alignment vertical="center"/>
    </xf>
    <xf numFmtId="0" fontId="2" fillId="0" borderId="0" xfId="1" applyAlignment="1">
      <alignment horizontal="center" vertical="center" wrapText="1"/>
    </xf>
    <xf numFmtId="0" fontId="11" fillId="9" borderId="11" xfId="0" applyFont="1" applyFill="1" applyBorder="1" applyAlignment="1">
      <alignment horizontal="center" vertical="center" wrapText="1"/>
    </xf>
    <xf numFmtId="0" fontId="4" fillId="11" borderId="1" xfId="0" applyFont="1" applyFill="1" applyBorder="1" applyAlignment="1">
      <alignment horizontal="center" vertical="center" wrapText="1"/>
    </xf>
    <xf numFmtId="0" fontId="11" fillId="9" borderId="1" xfId="0" applyFont="1" applyFill="1" applyBorder="1" applyAlignment="1">
      <alignment horizontal="center" vertical="center" wrapText="1"/>
    </xf>
    <xf numFmtId="0" fontId="10" fillId="9" borderId="3" xfId="0" applyFont="1" applyFill="1" applyBorder="1" applyAlignment="1">
      <alignment horizontal="center" vertical="center" textRotation="90"/>
    </xf>
    <xf numFmtId="0" fontId="11" fillId="9" borderId="3" xfId="0" applyFont="1" applyFill="1" applyBorder="1" applyAlignment="1">
      <alignment horizontal="center" vertical="center" wrapText="1"/>
    </xf>
    <xf numFmtId="0" fontId="60" fillId="9" borderId="3" xfId="0" applyFont="1" applyFill="1" applyBorder="1" applyAlignment="1">
      <alignment horizontal="center" vertical="center" wrapText="1"/>
    </xf>
    <xf numFmtId="0" fontId="49" fillId="9" borderId="3" xfId="1" applyFont="1" applyFill="1" applyBorder="1" applyAlignment="1">
      <alignment horizontal="center" vertical="center" wrapText="1"/>
    </xf>
    <xf numFmtId="0" fontId="10" fillId="9" borderId="3" xfId="0" applyFont="1" applyFill="1" applyBorder="1" applyAlignment="1">
      <alignment horizontal="center" vertical="center" wrapText="1"/>
    </xf>
    <xf numFmtId="0" fontId="11" fillId="0" borderId="1" xfId="0" applyFont="1" applyBorder="1" applyAlignment="1">
      <alignment horizontal="center" vertical="center"/>
    </xf>
    <xf numFmtId="0" fontId="60" fillId="9" borderId="3" xfId="0" applyFont="1" applyFill="1" applyBorder="1" applyAlignment="1">
      <alignment horizontal="center" vertical="center" textRotation="90"/>
    </xf>
    <xf numFmtId="0" fontId="30" fillId="9" borderId="3" xfId="0" applyFont="1" applyFill="1" applyBorder="1" applyAlignment="1">
      <alignment horizontal="center" vertical="center" wrapText="1"/>
    </xf>
    <xf numFmtId="0" fontId="10" fillId="9" borderId="8" xfId="0" applyFont="1" applyFill="1" applyBorder="1" applyAlignment="1">
      <alignment horizontal="center" vertical="center" wrapText="1"/>
    </xf>
    <xf numFmtId="0" fontId="11" fillId="9" borderId="8" xfId="0" applyFont="1" applyFill="1" applyBorder="1" applyAlignment="1">
      <alignment horizontal="center" vertical="center" wrapText="1"/>
    </xf>
    <xf numFmtId="0" fontId="10" fillId="9" borderId="0" xfId="0" applyFont="1" applyFill="1" applyAlignment="1">
      <alignment horizontal="center" vertical="center" wrapText="1"/>
    </xf>
    <xf numFmtId="0" fontId="11" fillId="9" borderId="0" xfId="0" applyFont="1" applyFill="1" applyAlignment="1">
      <alignment horizontal="center" vertical="center" wrapText="1"/>
    </xf>
    <xf numFmtId="0" fontId="49" fillId="9" borderId="0" xfId="1" applyFont="1" applyFill="1" applyBorder="1" applyAlignment="1">
      <alignment horizontal="center" vertical="center" wrapText="1"/>
    </xf>
    <xf numFmtId="167" fontId="11" fillId="9" borderId="1" xfId="0" applyNumberFormat="1" applyFont="1" applyFill="1" applyBorder="1" applyAlignment="1">
      <alignment horizontal="center" vertical="center" wrapText="1"/>
    </xf>
    <xf numFmtId="167" fontId="10" fillId="9" borderId="8" xfId="0" applyNumberFormat="1" applyFont="1" applyFill="1" applyBorder="1" applyAlignment="1">
      <alignment horizontal="center" vertical="center" wrapText="1"/>
    </xf>
    <xf numFmtId="0" fontId="2" fillId="9" borderId="0" xfId="1" applyFill="1" applyBorder="1" applyAlignment="1">
      <alignment horizontal="center" vertical="center" wrapText="1"/>
    </xf>
    <xf numFmtId="0" fontId="2" fillId="9" borderId="1" xfId="1" applyFill="1" applyBorder="1" applyAlignment="1">
      <alignment horizontal="center" vertical="center" wrapText="1"/>
    </xf>
    <xf numFmtId="0" fontId="2" fillId="9" borderId="3" xfId="1" applyFill="1" applyBorder="1" applyAlignment="1">
      <alignment horizontal="center" vertical="center" wrapText="1"/>
    </xf>
    <xf numFmtId="10" fontId="11" fillId="9" borderId="1" xfId="4" applyNumberFormat="1" applyFont="1" applyFill="1" applyBorder="1" applyAlignment="1">
      <alignment horizontal="center" vertical="center" wrapText="1"/>
    </xf>
    <xf numFmtId="0" fontId="2" fillId="11" borderId="1" xfId="1" applyFill="1" applyBorder="1" applyAlignment="1">
      <alignment horizontal="center" vertical="center" wrapText="1"/>
    </xf>
    <xf numFmtId="0" fontId="4" fillId="11" borderId="1" xfId="0" applyFont="1" applyFill="1" applyBorder="1" applyAlignment="1">
      <alignment horizontal="center" vertical="center"/>
    </xf>
    <xf numFmtId="10" fontId="11" fillId="9" borderId="8" xfId="4" applyNumberFormat="1" applyFont="1" applyFill="1" applyBorder="1" applyAlignment="1">
      <alignment horizontal="center" vertical="center" wrapText="1"/>
    </xf>
    <xf numFmtId="0" fontId="13" fillId="8" borderId="0" xfId="0" applyFont="1" applyFill="1" applyAlignment="1">
      <alignment horizontal="center" vertical="center" wrapText="1"/>
    </xf>
    <xf numFmtId="0" fontId="7" fillId="8" borderId="0" xfId="0" applyFont="1" applyFill="1" applyAlignment="1">
      <alignment horizontal="center" vertical="center" wrapText="1"/>
    </xf>
    <xf numFmtId="0" fontId="13" fillId="8" borderId="0" xfId="0" applyFont="1" applyFill="1" applyAlignment="1">
      <alignment vertical="center" wrapText="1"/>
    </xf>
    <xf numFmtId="0" fontId="11" fillId="8" borderId="0" xfId="0" applyFont="1" applyFill="1" applyAlignment="1">
      <alignment horizontal="left" vertical="center" wrapText="1"/>
    </xf>
    <xf numFmtId="0" fontId="11" fillId="8" borderId="0" xfId="0" applyFont="1" applyFill="1" applyAlignment="1">
      <alignment horizontal="center" vertical="center" wrapText="1"/>
    </xf>
    <xf numFmtId="0" fontId="11" fillId="14" borderId="1" xfId="0" applyFont="1" applyFill="1" applyBorder="1" applyAlignment="1">
      <alignment horizontal="center" vertical="center" wrapText="1"/>
    </xf>
    <xf numFmtId="0" fontId="11" fillId="14" borderId="1" xfId="0" applyFont="1" applyFill="1" applyBorder="1" applyAlignment="1">
      <alignment horizontal="center" vertical="center"/>
    </xf>
    <xf numFmtId="0" fontId="2" fillId="9" borderId="11" xfId="1" applyFill="1" applyBorder="1" applyAlignment="1">
      <alignment horizontal="center" vertical="center" wrapText="1"/>
    </xf>
    <xf numFmtId="10" fontId="11" fillId="9" borderId="11" xfId="4" applyNumberFormat="1" applyFont="1" applyFill="1" applyBorder="1" applyAlignment="1">
      <alignment horizontal="center" vertical="center" wrapText="1"/>
    </xf>
    <xf numFmtId="0" fontId="0" fillId="0" borderId="11" xfId="0" applyBorder="1" applyAlignment="1">
      <alignment horizontal="center" vertical="center"/>
    </xf>
    <xf numFmtId="0" fontId="2" fillId="9" borderId="0" xfId="1" applyFill="1" applyAlignment="1">
      <alignment horizontal="center" vertical="center"/>
    </xf>
    <xf numFmtId="0" fontId="41" fillId="9" borderId="0" xfId="0" applyFont="1" applyFill="1"/>
    <xf numFmtId="0" fontId="63" fillId="9" borderId="0" xfId="0" applyFont="1" applyFill="1"/>
    <xf numFmtId="0" fontId="55" fillId="9" borderId="1" xfId="0" applyFont="1" applyFill="1" applyBorder="1"/>
    <xf numFmtId="0" fontId="57" fillId="9" borderId="8" xfId="0" applyFont="1" applyFill="1" applyBorder="1"/>
    <xf numFmtId="0" fontId="62" fillId="9" borderId="2" xfId="0" applyFont="1" applyFill="1" applyBorder="1"/>
    <xf numFmtId="0" fontId="0" fillId="9" borderId="3" xfId="0" applyFill="1" applyBorder="1"/>
    <xf numFmtId="0" fontId="0" fillId="9" borderId="4" xfId="0" applyFill="1" applyBorder="1"/>
    <xf numFmtId="0" fontId="0" fillId="9" borderId="5" xfId="0" applyFill="1" applyBorder="1"/>
    <xf numFmtId="0" fontId="58" fillId="9" borderId="9" xfId="0" applyFont="1" applyFill="1" applyBorder="1"/>
    <xf numFmtId="0" fontId="63" fillId="9" borderId="6" xfId="0" applyFont="1" applyFill="1" applyBorder="1"/>
    <xf numFmtId="0" fontId="62" fillId="9" borderId="0" xfId="0" applyFont="1" applyFill="1"/>
    <xf numFmtId="0" fontId="63" fillId="0" borderId="0" xfId="0" applyFont="1"/>
    <xf numFmtId="0" fontId="63" fillId="0" borderId="0" xfId="0" applyFont="1" applyAlignment="1">
      <alignment wrapText="1"/>
    </xf>
    <xf numFmtId="0" fontId="0" fillId="6" borderId="0" xfId="0" applyFill="1" applyAlignment="1">
      <alignment horizontal="center" vertical="center" wrapText="1"/>
    </xf>
    <xf numFmtId="0" fontId="0" fillId="2" borderId="0" xfId="0" applyFill="1" applyAlignment="1">
      <alignment horizontal="center" vertical="center" wrapText="1"/>
    </xf>
    <xf numFmtId="0" fontId="0" fillId="5" borderId="0" xfId="0" applyFill="1" applyAlignment="1">
      <alignment horizontal="center" vertical="center" wrapText="1"/>
    </xf>
    <xf numFmtId="0" fontId="36" fillId="9" borderId="30" xfId="0" applyFont="1" applyFill="1" applyBorder="1" applyAlignment="1">
      <alignment horizontal="center" vertical="center"/>
    </xf>
    <xf numFmtId="0" fontId="64" fillId="9" borderId="29" xfId="0" applyFont="1" applyFill="1" applyBorder="1" applyAlignment="1">
      <alignment horizontal="center" vertical="center"/>
    </xf>
    <xf numFmtId="0" fontId="62" fillId="9" borderId="29" xfId="0" applyFont="1" applyFill="1" applyBorder="1" applyAlignment="1">
      <alignment horizontal="center" vertical="center"/>
    </xf>
    <xf numFmtId="0" fontId="0" fillId="9" borderId="106" xfId="0" applyFill="1" applyBorder="1"/>
    <xf numFmtId="0" fontId="0" fillId="9" borderId="107" xfId="0" applyFill="1" applyBorder="1"/>
    <xf numFmtId="0" fontId="58" fillId="0" borderId="0" xfId="0" applyFont="1" applyAlignment="1">
      <alignment horizontal="center"/>
    </xf>
    <xf numFmtId="0" fontId="63" fillId="0" borderId="0" xfId="0" applyFont="1" applyAlignment="1">
      <alignment horizontal="center"/>
    </xf>
    <xf numFmtId="0" fontId="33" fillId="8" borderId="0" xfId="0" applyFont="1" applyFill="1" applyAlignment="1">
      <alignment horizontal="left" indent="1"/>
    </xf>
    <xf numFmtId="0" fontId="11" fillId="9" borderId="48" xfId="0" applyFont="1" applyFill="1" applyBorder="1"/>
    <xf numFmtId="0" fontId="11" fillId="9" borderId="27" xfId="0" applyFont="1" applyFill="1" applyBorder="1"/>
    <xf numFmtId="0" fontId="8" fillId="8" borderId="0" xfId="0" applyFont="1" applyFill="1" applyAlignment="1">
      <alignment horizontal="left" vertical="center"/>
    </xf>
    <xf numFmtId="0" fontId="8" fillId="9" borderId="0" xfId="0" applyFont="1" applyFill="1" applyAlignment="1">
      <alignment horizontal="left" vertical="center"/>
    </xf>
    <xf numFmtId="0" fontId="66" fillId="15" borderId="0" xfId="1" applyFont="1" applyFill="1" applyBorder="1"/>
    <xf numFmtId="0" fontId="2" fillId="15" borderId="0" xfId="1" applyFill="1" applyBorder="1"/>
    <xf numFmtId="0" fontId="67" fillId="9" borderId="0" xfId="0" applyFont="1" applyFill="1"/>
    <xf numFmtId="0" fontId="66" fillId="15" borderId="0" xfId="1" applyFont="1" applyFill="1" applyBorder="1" applyAlignment="1">
      <alignment horizontal="left" indent="1"/>
    </xf>
    <xf numFmtId="0" fontId="66" fillId="9" borderId="0" xfId="1" applyFont="1" applyFill="1" applyBorder="1" applyAlignment="1">
      <alignment horizontal="left" indent="1"/>
    </xf>
    <xf numFmtId="0" fontId="67" fillId="15" borderId="0" xfId="0" applyFont="1" applyFill="1"/>
    <xf numFmtId="0" fontId="31" fillId="15" borderId="0" xfId="0" applyFont="1" applyFill="1"/>
    <xf numFmtId="0" fontId="2" fillId="9" borderId="0" xfId="1" applyFill="1" applyBorder="1" applyAlignment="1">
      <alignment horizontal="left" indent="1"/>
    </xf>
    <xf numFmtId="0" fontId="2" fillId="0" borderId="0" xfId="1" applyBorder="1"/>
    <xf numFmtId="0" fontId="0" fillId="9" borderId="0" xfId="0" applyFill="1" applyAlignment="1">
      <alignment horizontal="center" vertical="center" textRotation="90" wrapText="1"/>
    </xf>
    <xf numFmtId="0" fontId="5" fillId="8" borderId="0" xfId="0" applyFont="1" applyFill="1" applyAlignment="1">
      <alignment vertical="center"/>
    </xf>
    <xf numFmtId="0" fontId="2" fillId="9" borderId="0" xfId="1" quotePrefix="1" applyFill="1"/>
    <xf numFmtId="0" fontId="66" fillId="0" borderId="0" xfId="1" applyFont="1" applyFill="1" applyBorder="1"/>
    <xf numFmtId="0" fontId="2" fillId="0" borderId="0" xfId="1" applyFill="1"/>
    <xf numFmtId="0" fontId="2" fillId="9" borderId="0" xfId="1" applyFill="1" applyAlignment="1">
      <alignment horizontal="left" indent="1"/>
    </xf>
    <xf numFmtId="0" fontId="66" fillId="0" borderId="0" xfId="1" applyFont="1" applyFill="1" applyBorder="1" applyAlignment="1">
      <alignment horizontal="left"/>
    </xf>
    <xf numFmtId="0" fontId="2" fillId="0" borderId="0" xfId="1" applyFill="1" applyAlignment="1">
      <alignment horizontal="left"/>
    </xf>
    <xf numFmtId="0" fontId="2" fillId="0" borderId="0" xfId="1" applyFill="1" applyBorder="1" applyAlignment="1">
      <alignment horizontal="left"/>
    </xf>
    <xf numFmtId="0" fontId="2" fillId="0" borderId="0" xfId="1" applyFill="1" applyAlignment="1"/>
    <xf numFmtId="0" fontId="11" fillId="0" borderId="8" xfId="0" applyFont="1" applyBorder="1" applyAlignment="1">
      <alignment horizontal="center" vertical="center" wrapText="1"/>
    </xf>
    <xf numFmtId="0" fontId="4" fillId="3" borderId="52" xfId="0" applyFont="1" applyFill="1" applyBorder="1" applyAlignment="1">
      <alignment horizontal="center" vertical="center" textRotation="90" wrapText="1"/>
    </xf>
    <xf numFmtId="0" fontId="4" fillId="3" borderId="24" xfId="0" applyFont="1" applyFill="1" applyBorder="1" applyAlignment="1">
      <alignment horizontal="center" vertical="center" textRotation="90" wrapText="1"/>
    </xf>
    <xf numFmtId="0" fontId="4" fillId="3" borderId="67" xfId="0" applyFont="1" applyFill="1" applyBorder="1" applyAlignment="1">
      <alignment horizontal="center" vertical="center" textRotation="90" wrapText="1"/>
    </xf>
    <xf numFmtId="0" fontId="2" fillId="0" borderId="104" xfId="1" applyBorder="1" applyAlignment="1">
      <alignment horizontal="left" vertical="center"/>
    </xf>
    <xf numFmtId="0" fontId="2" fillId="0" borderId="105" xfId="1" applyBorder="1" applyAlignment="1">
      <alignment horizontal="left" vertical="center"/>
    </xf>
    <xf numFmtId="0" fontId="2" fillId="0" borderId="25" xfId="1" applyBorder="1" applyAlignment="1">
      <alignment horizontal="left" vertical="center"/>
    </xf>
    <xf numFmtId="0" fontId="2" fillId="0" borderId="48" xfId="1" applyBorder="1" applyAlignment="1">
      <alignment horizontal="left" vertical="center"/>
    </xf>
    <xf numFmtId="0" fontId="0" fillId="5" borderId="25" xfId="0" applyFill="1" applyBorder="1" applyAlignment="1">
      <alignment horizontal="center" vertical="center" textRotation="90" wrapText="1"/>
    </xf>
    <xf numFmtId="0" fontId="0" fillId="5" borderId="109" xfId="0" applyFill="1" applyBorder="1" applyAlignment="1">
      <alignment horizontal="center" vertical="center" textRotation="90" wrapText="1"/>
    </xf>
    <xf numFmtId="0" fontId="0" fillId="5" borderId="48" xfId="0" applyFill="1" applyBorder="1" applyAlignment="1">
      <alignment horizontal="center" vertical="center" textRotation="90" wrapText="1"/>
    </xf>
    <xf numFmtId="0" fontId="4" fillId="2" borderId="49" xfId="0" applyFont="1" applyFill="1" applyBorder="1" applyAlignment="1">
      <alignment horizontal="center" vertical="center" textRotation="90" wrapText="1"/>
    </xf>
    <xf numFmtId="0" fontId="4" fillId="2" borderId="50" xfId="0" applyFont="1" applyFill="1" applyBorder="1" applyAlignment="1">
      <alignment horizontal="center" vertical="center" textRotation="90" wrapText="1"/>
    </xf>
    <xf numFmtId="0" fontId="4" fillId="2" borderId="51" xfId="0" applyFont="1" applyFill="1" applyBorder="1" applyAlignment="1">
      <alignment horizontal="center" vertical="center" textRotation="90" wrapText="1"/>
    </xf>
    <xf numFmtId="0" fontId="4" fillId="7" borderId="110" xfId="0" applyFont="1" applyFill="1" applyBorder="1" applyAlignment="1">
      <alignment horizontal="center" vertical="center" textRotation="90" wrapText="1"/>
    </xf>
    <xf numFmtId="0" fontId="4" fillId="7" borderId="111" xfId="0" applyFont="1" applyFill="1" applyBorder="1" applyAlignment="1">
      <alignment horizontal="center" vertical="center" textRotation="90" wrapText="1"/>
    </xf>
    <xf numFmtId="0" fontId="4" fillId="7" borderId="112" xfId="0" applyFont="1" applyFill="1" applyBorder="1" applyAlignment="1">
      <alignment horizontal="center" vertical="center" textRotation="90" wrapText="1"/>
    </xf>
    <xf numFmtId="0" fontId="8" fillId="8" borderId="0" xfId="0" applyFont="1" applyFill="1" applyAlignment="1">
      <alignment horizontal="center"/>
    </xf>
    <xf numFmtId="0" fontId="4" fillId="11" borderId="31" xfId="0" applyFont="1" applyFill="1" applyBorder="1" applyAlignment="1">
      <alignment horizontal="center"/>
    </xf>
    <xf numFmtId="0" fontId="4" fillId="11" borderId="32" xfId="0" applyFont="1" applyFill="1" applyBorder="1" applyAlignment="1">
      <alignment horizontal="center"/>
    </xf>
    <xf numFmtId="0" fontId="4" fillId="11" borderId="33" xfId="0" applyFont="1" applyFill="1" applyBorder="1" applyAlignment="1">
      <alignment horizontal="center"/>
    </xf>
    <xf numFmtId="0" fontId="5" fillId="11" borderId="0" xfId="0" applyFont="1" applyFill="1" applyAlignment="1">
      <alignment horizontal="center" vertical="center"/>
    </xf>
    <xf numFmtId="0" fontId="69" fillId="8" borderId="115" xfId="0" applyFont="1" applyFill="1" applyBorder="1" applyAlignment="1">
      <alignment horizontal="center" vertical="center"/>
    </xf>
    <xf numFmtId="0" fontId="69" fillId="8" borderId="116" xfId="0" applyFont="1" applyFill="1" applyBorder="1" applyAlignment="1">
      <alignment horizontal="center" vertical="center"/>
    </xf>
    <xf numFmtId="0" fontId="69" fillId="8" borderId="117" xfId="0" applyFont="1" applyFill="1" applyBorder="1" applyAlignment="1">
      <alignment horizontal="center" vertical="center"/>
    </xf>
    <xf numFmtId="0" fontId="4" fillId="11" borderId="102" xfId="0" applyFont="1" applyFill="1" applyBorder="1" applyAlignment="1">
      <alignment horizontal="center" vertical="center"/>
    </xf>
    <xf numFmtId="0" fontId="4" fillId="11" borderId="103" xfId="0" applyFont="1" applyFill="1" applyBorder="1" applyAlignment="1">
      <alignment horizontal="center" vertical="center"/>
    </xf>
    <xf numFmtId="0" fontId="4" fillId="11" borderId="33" xfId="0" applyFont="1" applyFill="1" applyBorder="1" applyAlignment="1">
      <alignment horizontal="center" vertical="center"/>
    </xf>
    <xf numFmtId="0" fontId="8" fillId="8" borderId="0" xfId="0" applyFont="1" applyFill="1" applyAlignment="1">
      <alignment horizontal="left"/>
    </xf>
    <xf numFmtId="0" fontId="0" fillId="6" borderId="104" xfId="0" applyFill="1" applyBorder="1" applyAlignment="1">
      <alignment horizontal="center" vertical="center" textRotation="90" wrapText="1"/>
    </xf>
    <xf numFmtId="0" fontId="0" fillId="6" borderId="108" xfId="0" applyFill="1" applyBorder="1" applyAlignment="1">
      <alignment horizontal="center" vertical="center" textRotation="90" wrapText="1"/>
    </xf>
    <xf numFmtId="0" fontId="0" fillId="6" borderId="105" xfId="0" applyFill="1" applyBorder="1" applyAlignment="1">
      <alignment horizontal="center" vertical="center" textRotation="90" wrapText="1"/>
    </xf>
    <xf numFmtId="0" fontId="5" fillId="11" borderId="0" xfId="0" applyFont="1" applyFill="1" applyAlignment="1">
      <alignment horizontal="left" vertical="center"/>
    </xf>
    <xf numFmtId="0" fontId="0" fillId="6" borderId="63" xfId="0" applyFill="1" applyBorder="1" applyAlignment="1">
      <alignment horizontal="center" vertical="center" textRotation="90" wrapText="1"/>
    </xf>
    <xf numFmtId="0" fontId="0" fillId="6" borderId="64" xfId="0" applyFill="1" applyBorder="1" applyAlignment="1">
      <alignment horizontal="center" vertical="center" textRotation="90" wrapText="1"/>
    </xf>
    <xf numFmtId="0" fontId="0" fillId="6" borderId="47" xfId="0" applyFill="1" applyBorder="1" applyAlignment="1">
      <alignment horizontal="center" vertical="center" textRotation="90" wrapText="1"/>
    </xf>
    <xf numFmtId="0" fontId="2" fillId="0" borderId="26" xfId="1" applyBorder="1" applyAlignment="1">
      <alignment vertical="center"/>
    </xf>
    <xf numFmtId="0" fontId="0" fillId="5" borderId="56" xfId="0" applyFill="1" applyBorder="1" applyAlignment="1">
      <alignment horizontal="center" vertical="center" textRotation="90" wrapText="1"/>
    </xf>
    <xf numFmtId="0" fontId="4" fillId="7" borderId="58" xfId="0" applyFont="1" applyFill="1" applyBorder="1" applyAlignment="1">
      <alignment horizontal="center" vertical="center" textRotation="90" wrapText="1"/>
    </xf>
    <xf numFmtId="0" fontId="34" fillId="8" borderId="0" xfId="0" applyFont="1" applyFill="1" applyAlignment="1">
      <alignment horizontal="left"/>
    </xf>
    <xf numFmtId="0" fontId="0" fillId="0" borderId="0" xfId="0" applyAlignment="1">
      <alignment horizontal="center" vertical="center" wrapText="1"/>
    </xf>
    <xf numFmtId="0" fontId="0" fillId="0" borderId="0" xfId="0" applyAlignment="1">
      <alignment horizontal="center"/>
    </xf>
    <xf numFmtId="0" fontId="27" fillId="9" borderId="0" xfId="0" applyFont="1" applyFill="1" applyAlignment="1">
      <alignment horizontal="left" vertical="center" wrapText="1"/>
    </xf>
    <xf numFmtId="0" fontId="4" fillId="11" borderId="0" xfId="0" applyFont="1" applyFill="1" applyAlignment="1">
      <alignment horizontal="center" vertical="center"/>
    </xf>
    <xf numFmtId="0" fontId="0" fillId="9" borderId="18" xfId="0" applyFill="1" applyBorder="1" applyAlignment="1">
      <alignment horizontal="left" wrapText="1"/>
    </xf>
    <xf numFmtId="0" fontId="0" fillId="9" borderId="18" xfId="0" applyFill="1" applyBorder="1" applyAlignment="1">
      <alignment wrapText="1"/>
    </xf>
    <xf numFmtId="0" fontId="4" fillId="11" borderId="29" xfId="0" applyFont="1" applyFill="1" applyBorder="1" applyAlignment="1">
      <alignment horizontal="center" vertical="center"/>
    </xf>
    <xf numFmtId="0" fontId="4" fillId="11" borderId="30" xfId="0" applyFont="1" applyFill="1" applyBorder="1" applyAlignment="1">
      <alignment horizontal="center" vertical="center"/>
    </xf>
    <xf numFmtId="0" fontId="4" fillId="11" borderId="53" xfId="0" applyFont="1" applyFill="1" applyBorder="1" applyAlignment="1">
      <alignment horizontal="center" vertical="center"/>
    </xf>
    <xf numFmtId="0" fontId="4" fillId="11" borderId="28" xfId="0" applyFont="1" applyFill="1" applyBorder="1" applyAlignment="1">
      <alignment horizontal="center" vertical="center"/>
    </xf>
    <xf numFmtId="0" fontId="4" fillId="11" borderId="1" xfId="0" applyFont="1" applyFill="1" applyBorder="1" applyAlignment="1">
      <alignment horizontal="center" vertical="center"/>
    </xf>
    <xf numFmtId="0" fontId="4" fillId="11" borderId="113" xfId="0" applyFont="1" applyFill="1" applyBorder="1" applyAlignment="1">
      <alignment horizontal="center" vertical="center"/>
    </xf>
    <xf numFmtId="0" fontId="4" fillId="11" borderId="114" xfId="0" applyFont="1" applyFill="1" applyBorder="1" applyAlignment="1">
      <alignment horizontal="center" vertical="center"/>
    </xf>
    <xf numFmtId="0" fontId="4" fillId="11" borderId="39" xfId="0" applyFont="1" applyFill="1" applyBorder="1" applyAlignment="1">
      <alignment horizontal="center" vertical="center"/>
    </xf>
    <xf numFmtId="0" fontId="4" fillId="11" borderId="45" xfId="0" applyFont="1" applyFill="1" applyBorder="1" applyAlignment="1">
      <alignment horizontal="center" vertical="center"/>
    </xf>
    <xf numFmtId="0" fontId="4" fillId="11" borderId="40" xfId="0" applyFont="1" applyFill="1" applyBorder="1" applyAlignment="1">
      <alignment horizontal="center" vertical="center"/>
    </xf>
    <xf numFmtId="0" fontId="27" fillId="9" borderId="0" xfId="0" applyFont="1" applyFill="1" applyAlignment="1">
      <alignment horizontal="left" wrapText="1"/>
    </xf>
    <xf numFmtId="0" fontId="5" fillId="11" borderId="0" xfId="2" applyFont="1" applyFill="1" applyBorder="1" applyAlignment="1">
      <alignment horizontal="left"/>
    </xf>
    <xf numFmtId="0" fontId="2" fillId="0" borderId="0" xfId="1" applyAlignment="1"/>
    <xf numFmtId="0" fontId="53" fillId="11" borderId="0" xfId="0" applyFont="1" applyFill="1" applyAlignment="1">
      <alignment horizontal="center" wrapText="1"/>
    </xf>
    <xf numFmtId="0" fontId="29" fillId="9" borderId="0" xfId="0" applyFont="1" applyFill="1" applyAlignment="1">
      <alignment horizontal="left" wrapText="1"/>
    </xf>
    <xf numFmtId="0" fontId="2" fillId="9" borderId="0" xfId="1" applyFill="1" applyAlignment="1"/>
    <xf numFmtId="0" fontId="0" fillId="9" borderId="18" xfId="0" applyFill="1" applyBorder="1" applyAlignment="1">
      <alignment horizontal="left" vertical="center"/>
    </xf>
    <xf numFmtId="0" fontId="2" fillId="0" borderId="18" xfId="1" applyBorder="1" applyAlignment="1">
      <alignment horizontal="left"/>
    </xf>
    <xf numFmtId="0" fontId="10" fillId="10" borderId="18" xfId="0" applyFont="1" applyFill="1" applyBorder="1" applyAlignment="1">
      <alignment horizontal="left" vertical="center"/>
    </xf>
    <xf numFmtId="169" fontId="0" fillId="9" borderId="18" xfId="0" applyNumberFormat="1" applyFill="1" applyBorder="1" applyAlignment="1">
      <alignment horizontal="left" vertical="center"/>
    </xf>
    <xf numFmtId="170" fontId="0" fillId="9" borderId="18" xfId="0" applyNumberFormat="1" applyFill="1" applyBorder="1" applyAlignment="1">
      <alignment horizontal="left" vertical="center"/>
    </xf>
    <xf numFmtId="0" fontId="11" fillId="13" borderId="28" xfId="0" applyFont="1" applyFill="1" applyBorder="1" applyAlignment="1">
      <alignment horizontal="left" vertical="center"/>
    </xf>
    <xf numFmtId="0" fontId="11" fillId="13" borderId="30" xfId="0" applyFont="1" applyFill="1" applyBorder="1" applyAlignment="1">
      <alignment horizontal="left" vertical="center"/>
    </xf>
    <xf numFmtId="0" fontId="4" fillId="11" borderId="0" xfId="0" applyFont="1" applyFill="1" applyAlignment="1">
      <alignment horizontal="center" wrapText="1"/>
    </xf>
    <xf numFmtId="0" fontId="11" fillId="13" borderId="18" xfId="0" applyFont="1" applyFill="1" applyBorder="1" applyAlignment="1">
      <alignment horizontal="left" vertical="center"/>
    </xf>
    <xf numFmtId="0" fontId="15" fillId="9" borderId="0" xfId="0" applyFont="1" applyFill="1" applyAlignment="1">
      <alignment horizontal="center" vertical="center"/>
    </xf>
    <xf numFmtId="0" fontId="15" fillId="9" borderId="0" xfId="0" applyFont="1" applyFill="1" applyAlignment="1">
      <alignment horizontal="center" vertical="center" wrapText="1"/>
    </xf>
    <xf numFmtId="0" fontId="0" fillId="5" borderId="13" xfId="0" applyFill="1" applyBorder="1" applyAlignment="1">
      <alignment horizontal="center" vertical="center" wrapText="1"/>
    </xf>
    <xf numFmtId="0" fontId="0" fillId="5" borderId="14" xfId="0" applyFill="1" applyBorder="1" applyAlignment="1">
      <alignment horizontal="center" vertical="center" wrapText="1"/>
    </xf>
    <xf numFmtId="0" fontId="0" fillId="5" borderId="15" xfId="0" applyFill="1" applyBorder="1" applyAlignment="1">
      <alignment horizontal="center" vertical="center" wrapText="1"/>
    </xf>
    <xf numFmtId="0" fontId="4" fillId="3" borderId="13" xfId="0" applyFont="1" applyFill="1" applyBorder="1" applyAlignment="1">
      <alignment horizontal="center" vertical="center" wrapText="1"/>
    </xf>
    <xf numFmtId="0" fontId="4" fillId="3" borderId="15" xfId="0" applyFont="1" applyFill="1" applyBorder="1" applyAlignment="1">
      <alignment horizontal="center" vertical="center" wrapText="1"/>
    </xf>
    <xf numFmtId="0" fontId="8" fillId="8" borderId="16" xfId="0" applyFont="1" applyFill="1" applyBorder="1" applyAlignment="1">
      <alignment horizontal="center" vertical="center" wrapText="1"/>
    </xf>
    <xf numFmtId="0" fontId="8" fillId="8" borderId="12" xfId="0" applyFont="1" applyFill="1" applyBorder="1" applyAlignment="1">
      <alignment horizontal="center" vertical="center" wrapText="1"/>
    </xf>
    <xf numFmtId="0" fontId="0" fillId="9" borderId="16" xfId="0" applyFill="1" applyBorder="1" applyAlignment="1">
      <alignment horizontal="center" vertical="center" wrapText="1"/>
    </xf>
    <xf numFmtId="0" fontId="0" fillId="9" borderId="12" xfId="0" applyFill="1" applyBorder="1" applyAlignment="1">
      <alignment horizontal="center" vertical="center" wrapText="1"/>
    </xf>
    <xf numFmtId="0" fontId="0" fillId="2" borderId="13" xfId="0" applyFill="1" applyBorder="1" applyAlignment="1">
      <alignment horizontal="center" vertical="center" wrapText="1"/>
    </xf>
    <xf numFmtId="0" fontId="0" fillId="2" borderId="14" xfId="0" applyFill="1" applyBorder="1" applyAlignment="1">
      <alignment horizontal="center" vertical="center" wrapText="1"/>
    </xf>
    <xf numFmtId="0" fontId="0" fillId="2" borderId="15" xfId="0" applyFill="1" applyBorder="1" applyAlignment="1">
      <alignment horizontal="center" vertical="center" wrapText="1"/>
    </xf>
    <xf numFmtId="0" fontId="0" fillId="6" borderId="13" xfId="0" applyFill="1" applyBorder="1" applyAlignment="1">
      <alignment horizontal="center" vertical="center" wrapText="1"/>
    </xf>
    <xf numFmtId="0" fontId="0" fillId="6" borderId="15" xfId="0" applyFill="1" applyBorder="1" applyAlignment="1">
      <alignment horizontal="center" vertical="center" wrapText="1"/>
    </xf>
    <xf numFmtId="0" fontId="59" fillId="11" borderId="96" xfId="0" applyFont="1" applyFill="1" applyBorder="1" applyAlignment="1">
      <alignment horizontal="center" vertical="center" textRotation="90" wrapText="1"/>
    </xf>
    <xf numFmtId="0" fontId="59" fillId="11" borderId="97" xfId="0" applyFont="1" applyFill="1" applyBorder="1" applyAlignment="1">
      <alignment horizontal="center" vertical="center" textRotation="90" wrapText="1"/>
    </xf>
    <xf numFmtId="0" fontId="59" fillId="11" borderId="98" xfId="0" applyFont="1" applyFill="1" applyBorder="1" applyAlignment="1">
      <alignment horizontal="center" vertical="center" textRotation="90" wrapText="1"/>
    </xf>
    <xf numFmtId="0" fontId="11" fillId="13" borderId="29" xfId="0" applyFont="1" applyFill="1" applyBorder="1" applyAlignment="1">
      <alignment horizontal="left" vertical="center"/>
    </xf>
    <xf numFmtId="0" fontId="59" fillId="11" borderId="54" xfId="0" applyFont="1" applyFill="1" applyBorder="1" applyAlignment="1">
      <alignment horizontal="center" vertical="center" textRotation="90" wrapText="1"/>
    </xf>
    <xf numFmtId="0" fontId="59" fillId="11" borderId="14" xfId="0" applyFont="1" applyFill="1" applyBorder="1" applyAlignment="1">
      <alignment horizontal="center" vertical="center" textRotation="90" wrapText="1"/>
    </xf>
    <xf numFmtId="0" fontId="59" fillId="11" borderId="55" xfId="0" applyFont="1" applyFill="1" applyBorder="1" applyAlignment="1">
      <alignment horizontal="center" vertical="center" textRotation="90" wrapText="1"/>
    </xf>
    <xf numFmtId="0" fontId="59" fillId="11" borderId="94" xfId="0" applyFont="1" applyFill="1" applyBorder="1" applyAlignment="1">
      <alignment horizontal="center" vertical="center" textRotation="90" wrapText="1"/>
    </xf>
    <xf numFmtId="0" fontId="59" fillId="11" borderId="3" xfId="0" applyFont="1" applyFill="1" applyBorder="1" applyAlignment="1">
      <alignment horizontal="center" vertical="center" textRotation="90" wrapText="1"/>
    </xf>
    <xf numFmtId="0" fontId="59" fillId="11" borderId="95" xfId="0" applyFont="1" applyFill="1" applyBorder="1" applyAlignment="1">
      <alignment horizontal="center" vertical="center" textRotation="90" wrapText="1"/>
    </xf>
    <xf numFmtId="0" fontId="59" fillId="11" borderId="8" xfId="0" applyFont="1" applyFill="1" applyBorder="1" applyAlignment="1">
      <alignment horizontal="center" vertical="center" textRotation="90" wrapText="1"/>
    </xf>
    <xf numFmtId="0" fontId="59" fillId="11" borderId="0" xfId="0" applyFont="1" applyFill="1" applyAlignment="1">
      <alignment horizontal="center" vertical="center" textRotation="90" wrapText="1"/>
    </xf>
    <xf numFmtId="0" fontId="59" fillId="11" borderId="59" xfId="0" applyFont="1" applyFill="1" applyBorder="1" applyAlignment="1">
      <alignment horizontal="center" vertical="center" textRotation="90" wrapText="1"/>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8" borderId="5" xfId="0" applyFill="1" applyBorder="1" applyAlignment="1">
      <alignment horizontal="center" vertical="center"/>
    </xf>
    <xf numFmtId="0" fontId="2" fillId="0" borderId="28" xfId="1" applyBorder="1" applyAlignment="1">
      <alignment horizontal="left"/>
    </xf>
    <xf numFmtId="0" fontId="2" fillId="0" borderId="29" xfId="1" applyBorder="1" applyAlignment="1">
      <alignment horizontal="left"/>
    </xf>
    <xf numFmtId="0" fontId="2" fillId="0" borderId="30" xfId="1" applyBorder="1" applyAlignment="1">
      <alignment horizontal="left"/>
    </xf>
    <xf numFmtId="169" fontId="0" fillId="9" borderId="28" xfId="0" applyNumberFormat="1" applyFill="1" applyBorder="1" applyAlignment="1">
      <alignment horizontal="left" vertical="center"/>
    </xf>
    <xf numFmtId="169" fontId="0" fillId="9" borderId="29" xfId="0" applyNumberFormat="1" applyFill="1" applyBorder="1" applyAlignment="1">
      <alignment horizontal="left" vertical="center"/>
    </xf>
    <xf numFmtId="169" fontId="0" fillId="9" borderId="30" xfId="0" applyNumberFormat="1" applyFill="1" applyBorder="1" applyAlignment="1">
      <alignment horizontal="left" vertical="center"/>
    </xf>
    <xf numFmtId="170" fontId="0" fillId="9" borderId="28" xfId="0" applyNumberFormat="1" applyFill="1" applyBorder="1" applyAlignment="1">
      <alignment horizontal="left" vertical="center"/>
    </xf>
    <xf numFmtId="170" fontId="0" fillId="9" borderId="29" xfId="0" applyNumberFormat="1" applyFill="1" applyBorder="1" applyAlignment="1">
      <alignment horizontal="left" vertical="center"/>
    </xf>
    <xf numFmtId="170" fontId="0" fillId="9" borderId="30" xfId="0" applyNumberFormat="1" applyFill="1" applyBorder="1" applyAlignment="1">
      <alignment horizontal="left" vertical="center"/>
    </xf>
    <xf numFmtId="0" fontId="0" fillId="9" borderId="28" xfId="0" applyFill="1" applyBorder="1" applyAlignment="1">
      <alignment horizontal="left" vertical="center"/>
    </xf>
    <xf numFmtId="0" fontId="0" fillId="9" borderId="29" xfId="0" applyFill="1" applyBorder="1" applyAlignment="1">
      <alignment horizontal="left" vertical="center"/>
    </xf>
    <xf numFmtId="0" fontId="0" fillId="9" borderId="30" xfId="0" applyFill="1" applyBorder="1" applyAlignment="1">
      <alignment horizontal="left" vertical="center"/>
    </xf>
    <xf numFmtId="0" fontId="10" fillId="10" borderId="28" xfId="0" applyFont="1" applyFill="1" applyBorder="1" applyAlignment="1">
      <alignment horizontal="left" vertical="center"/>
    </xf>
    <xf numFmtId="0" fontId="10" fillId="10" borderId="29" xfId="0" applyFont="1" applyFill="1" applyBorder="1" applyAlignment="1">
      <alignment horizontal="left" vertical="center"/>
    </xf>
    <xf numFmtId="0" fontId="10" fillId="10" borderId="30" xfId="0" applyFont="1" applyFill="1" applyBorder="1" applyAlignment="1">
      <alignment horizontal="left" vertical="center"/>
    </xf>
    <xf numFmtId="0" fontId="0" fillId="8" borderId="13"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5" fillId="11" borderId="0" xfId="0" applyFont="1" applyFill="1" applyAlignment="1">
      <alignment horizontal="left"/>
    </xf>
    <xf numFmtId="0" fontId="27" fillId="9" borderId="0" xfId="0" applyFont="1" applyFill="1" applyAlignment="1">
      <alignment horizontal="left" vertical="center"/>
    </xf>
    <xf numFmtId="0" fontId="4" fillId="11" borderId="18" xfId="0" applyFont="1" applyFill="1" applyBorder="1" applyAlignment="1">
      <alignment horizontal="center"/>
    </xf>
    <xf numFmtId="0" fontId="52" fillId="11" borderId="0" xfId="15" applyFont="1" applyFill="1" applyBorder="1" applyAlignment="1">
      <alignment horizontal="center" vertical="center"/>
    </xf>
    <xf numFmtId="0" fontId="5" fillId="11" borderId="0" xfId="0" applyFont="1" applyFill="1" applyAlignment="1">
      <alignment horizontal="center" wrapText="1"/>
    </xf>
    <xf numFmtId="0" fontId="51" fillId="11" borderId="0" xfId="15" applyFont="1" applyFill="1" applyBorder="1" applyAlignment="1">
      <alignment horizontal="center" vertical="center"/>
    </xf>
    <xf numFmtId="0" fontId="5" fillId="11" borderId="0" xfId="0" applyFont="1" applyFill="1" applyAlignment="1">
      <alignment vertical="center"/>
    </xf>
  </cellXfs>
  <cellStyles count="17">
    <cellStyle name="Bottom Border" xfId="10" xr:uid="{06A2D2C4-1B89-4DDE-AA93-496F448EBE00}"/>
    <cellStyle name="Calendar alignment" xfId="9" xr:uid="{4FA77B54-6FB4-405B-8EB4-D63B5ECF93F6}"/>
    <cellStyle name="Currency" xfId="3" builtinId="4"/>
    <cellStyle name="Date" xfId="8" xr:uid="{AB174527-D164-4B4E-9127-F674621F4338}"/>
    <cellStyle name="Heading 1" xfId="2" builtinId="16"/>
    <cellStyle name="Heading 4" xfId="16" builtinId="19"/>
    <cellStyle name="Hyperlink" xfId="1" builtinId="8"/>
    <cellStyle name="Label" xfId="5" xr:uid="{588F7241-DA21-403F-83F2-7A7E30ECF6BC}"/>
    <cellStyle name="Normal" xfId="0" builtinId="0"/>
    <cellStyle name="Percent" xfId="4" builtinId="5"/>
    <cellStyle name="Right Border" xfId="12" xr:uid="{A827BC4D-8CE6-43F3-B4FF-1CDE4B697CCE}"/>
    <cellStyle name="Table heading blank" xfId="6" xr:uid="{A7783392-C9F1-402A-BB9E-14E40E3F6836}"/>
    <cellStyle name="Time" xfId="13" xr:uid="{95F1AC71-387A-4D92-A556-3E36FAADF6E3}"/>
    <cellStyle name="Title" xfId="15" builtinId="15"/>
    <cellStyle name="Top Border" xfId="7" xr:uid="{C6AE4AEA-16E2-4788-B08B-CB1B6A6578BB}"/>
    <cellStyle name="Weekdays" xfId="11" xr:uid="{43B2B0F4-460C-4269-B034-238AF0E63BC9}"/>
    <cellStyle name="Weekly Schedule Fill" xfId="14" xr:uid="{B3182406-72EA-4744-8810-8FDD9B906E6C}"/>
  </cellStyles>
  <dxfs count="2045">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ertAlign val="baseline"/>
        <sz val="11"/>
        <color theme="10"/>
        <name val="Calibri"/>
        <family val="2"/>
        <scheme val="minor"/>
      </font>
      <fill>
        <patternFill patternType="none">
          <fgColor indexed="64"/>
          <bgColor auto="1"/>
        </patternFill>
      </fill>
      <alignment textRotation="0" wrapText="1" indent="0" justifyLastLine="0" shrinkToFit="0" readingOrder="0"/>
    </dxf>
    <dxf>
      <font>
        <strike val="0"/>
        <outline val="0"/>
        <shadow val="0"/>
        <vertAlign val="baseline"/>
        <sz val="11"/>
        <name val="Calibri"/>
        <family val="2"/>
        <scheme val="minor"/>
      </font>
      <fill>
        <patternFill patternType="none">
          <fgColor indexed="64"/>
          <bgColor auto="1"/>
        </patternFill>
      </fill>
    </dxf>
    <dxf>
      <font>
        <b val="0"/>
        <i val="0"/>
        <strike val="0"/>
        <condense val="0"/>
        <extend val="0"/>
        <outline val="0"/>
        <shadow val="0"/>
        <u val="none"/>
        <vertAlign val="baseline"/>
        <sz val="11"/>
        <color theme="1"/>
        <name val="Calibri"/>
        <family val="2"/>
        <scheme val="minor"/>
      </font>
      <fill>
        <patternFill patternType="none">
          <fgColor indexed="64"/>
          <bgColor auto="1"/>
        </patternFill>
      </fill>
    </dxf>
    <dxf>
      <font>
        <b val="0"/>
        <i val="0"/>
        <strike val="0"/>
        <condense val="0"/>
        <extend val="0"/>
        <outline val="0"/>
        <shadow val="0"/>
        <u val="none"/>
        <vertAlign val="baseline"/>
        <sz val="11"/>
        <color rgb="FF161616"/>
        <name val="Calibri"/>
        <family val="2"/>
        <scheme val="minor"/>
      </font>
      <numFmt numFmtId="169" formatCode="[$-F800]dddd\,\ mmmm\ dd\,\ yyyy"/>
      <fill>
        <patternFill patternType="none">
          <fgColor indexed="64"/>
          <bgColor indexed="65"/>
        </patternFill>
      </fill>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numFmt numFmtId="169" formatCode="[$-F800]dddd\,\ mmmm\ dd\,\ yyyy"/>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i val="0"/>
        <strike val="0"/>
        <condense val="0"/>
        <extend val="0"/>
        <outline val="0"/>
        <shadow val="0"/>
        <u val="none"/>
        <vertAlign val="baseline"/>
        <sz val="11"/>
        <color auto="1"/>
        <name val="Calibri"/>
        <family val="2"/>
        <scheme val="none"/>
      </font>
      <fill>
        <patternFill patternType="none">
          <fgColor rgb="FF000000"/>
          <bgColor rgb="FFFFFFFF"/>
        </patternFill>
      </fill>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color theme="0"/>
      </font>
      <fill>
        <patternFill>
          <bgColor rgb="FFF25022"/>
        </patternFill>
      </fill>
    </dxf>
    <dxf>
      <font>
        <color theme="1"/>
      </font>
      <fill>
        <patternFill>
          <bgColor rgb="FF7FBA00"/>
        </patternFill>
      </fill>
    </dxf>
    <dxf>
      <font>
        <color theme="1"/>
      </font>
      <fill>
        <patternFill>
          <bgColor rgb="FF00A4EF"/>
        </patternFill>
      </fill>
    </dxf>
    <dxf>
      <font>
        <color theme="0"/>
      </font>
      <fill>
        <patternFill>
          <bgColor rgb="FFF25022"/>
        </patternFill>
      </fill>
    </dxf>
    <dxf>
      <font>
        <color theme="0"/>
      </font>
      <fill>
        <patternFill>
          <bgColor rgb="FF747474"/>
        </patternFill>
      </fill>
    </dxf>
    <dxf>
      <font>
        <color theme="1"/>
      </font>
      <fill>
        <patternFill>
          <bgColor rgb="FFFFB9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1"/>
      </font>
      <fill>
        <patternFill>
          <bgColor rgb="FF7FBA00"/>
        </patternFill>
      </fill>
    </dxf>
    <dxf>
      <font>
        <color theme="1"/>
      </font>
      <fill>
        <patternFill>
          <bgColor rgb="FF00A4EF"/>
        </patternFill>
      </fill>
    </dxf>
    <dxf>
      <font>
        <color theme="1"/>
      </font>
      <fill>
        <patternFill>
          <bgColor rgb="FFFFB900"/>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1"/>
      </font>
      <fill>
        <patternFill>
          <bgColor rgb="FF7FBA00"/>
        </patternFill>
      </fill>
    </dxf>
    <dxf>
      <font>
        <color theme="1"/>
      </font>
      <fill>
        <patternFill>
          <bgColor rgb="FF00A4EF"/>
        </patternFill>
      </fill>
    </dxf>
    <dxf>
      <font>
        <color theme="1"/>
      </font>
      <fill>
        <patternFill>
          <bgColor rgb="FFFFB900"/>
        </patternFill>
      </fill>
    </dxf>
    <dxf>
      <font>
        <color theme="0"/>
      </font>
      <fill>
        <patternFill>
          <bgColor rgb="FFF25022"/>
        </patternFill>
      </fill>
    </dxf>
    <dxf>
      <font>
        <color theme="0"/>
      </font>
      <fill>
        <patternFill>
          <bgColor rgb="FF747474"/>
        </patternFill>
      </fill>
    </dxf>
    <dxf>
      <font>
        <color theme="1"/>
      </font>
      <fill>
        <patternFill>
          <bgColor rgb="FF7FBA00"/>
        </patternFill>
      </fill>
    </dxf>
    <dxf>
      <font>
        <color theme="1"/>
      </font>
      <fill>
        <patternFill>
          <bgColor rgb="FF00A4EF"/>
        </patternFill>
      </fill>
    </dxf>
    <dxf>
      <font>
        <color theme="1"/>
      </font>
      <fill>
        <patternFill>
          <bgColor rgb="FFFFB900"/>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1"/>
      </font>
      <fill>
        <patternFill>
          <bgColor rgb="FF7FBA00"/>
        </patternFill>
      </fill>
    </dxf>
    <dxf>
      <font>
        <color theme="1"/>
      </font>
      <fill>
        <patternFill>
          <bgColor rgb="FF00A4EF"/>
        </patternFill>
      </fill>
    </dxf>
    <dxf>
      <font>
        <color theme="1"/>
      </font>
      <fill>
        <patternFill>
          <bgColor rgb="FFFFB900"/>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1"/>
      </font>
      <fill>
        <patternFill>
          <bgColor rgb="FF7FBA00"/>
        </patternFill>
      </fill>
    </dxf>
    <dxf>
      <font>
        <color theme="1"/>
      </font>
      <fill>
        <patternFill>
          <bgColor rgb="FF00A4EF"/>
        </patternFill>
      </fill>
    </dxf>
    <dxf>
      <font>
        <color theme="1"/>
      </font>
      <fill>
        <patternFill>
          <bgColor rgb="FFFFB900"/>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1"/>
      </font>
      <fill>
        <patternFill>
          <bgColor rgb="FF7FBA00"/>
        </patternFill>
      </fill>
    </dxf>
    <dxf>
      <font>
        <color theme="1"/>
      </font>
      <fill>
        <patternFill>
          <bgColor rgb="FF00A4EF"/>
        </patternFill>
      </fill>
    </dxf>
    <dxf>
      <font>
        <color theme="1"/>
      </font>
      <fill>
        <patternFill>
          <bgColor rgb="FFFFB900"/>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1"/>
      </font>
      <fill>
        <patternFill>
          <bgColor rgb="FF7FBA00"/>
        </patternFill>
      </fill>
    </dxf>
    <dxf>
      <font>
        <color theme="1"/>
      </font>
      <fill>
        <patternFill>
          <bgColor rgb="FF00A4EF"/>
        </patternFill>
      </fill>
    </dxf>
    <dxf>
      <font>
        <color theme="1"/>
      </font>
      <fill>
        <patternFill>
          <bgColor rgb="FFFFB900"/>
        </patternFill>
      </fill>
    </dxf>
    <dxf>
      <font>
        <color theme="0"/>
      </font>
      <fill>
        <patternFill>
          <bgColor rgb="FF747474"/>
        </patternFill>
      </fill>
    </dxf>
    <dxf>
      <font>
        <color theme="0"/>
      </font>
      <fill>
        <patternFill>
          <bgColor rgb="FFF25022"/>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00A4EF"/>
        </patternFill>
      </fill>
    </dxf>
    <dxf>
      <font>
        <color theme="1"/>
      </font>
      <fill>
        <patternFill>
          <bgColor rgb="FFFFB900"/>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bgColor auto="1"/>
        </patternFill>
      </fill>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strike val="0"/>
        <outline val="0"/>
        <shadow val="0"/>
        <u val="none"/>
        <vertAlign val="baseline"/>
        <sz val="11"/>
        <color auto="1"/>
        <name val="Calibri"/>
        <family val="2"/>
        <scheme val="min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border>
        <bottom style="thin">
          <color theme="1"/>
        </bottom>
      </border>
    </dxf>
    <dxf>
      <font>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border diagonalUp="0" diagonalDown="0" outline="0">
        <left style="thin">
          <color theme="1"/>
        </left>
        <right style="thin">
          <color theme="1"/>
        </right>
        <top/>
        <bottom/>
      </border>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border>
        <bottom style="thin">
          <color theme="1"/>
        </bottom>
      </border>
    </dxf>
    <dxf>
      <font>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border diagonalUp="0" diagonalDown="0" outline="0">
        <left style="thin">
          <color theme="1"/>
        </left>
        <right style="thin">
          <color theme="1"/>
        </right>
        <top/>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border>
        <bottom style="thin">
          <color theme="1"/>
        </bottom>
      </border>
    </dxf>
    <dxf>
      <font>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border diagonalUp="0" diagonalDown="0" outline="0">
        <left style="thin">
          <color theme="1"/>
        </left>
        <right style="thin">
          <color theme="1"/>
        </right>
        <top/>
        <bottom/>
      </border>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border>
        <bottom style="thin">
          <color theme="1"/>
        </bottom>
      </border>
    </dxf>
    <dxf>
      <font>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border diagonalUp="0" diagonalDown="0" outline="0">
        <left style="thin">
          <color theme="1"/>
        </left>
        <right style="thin">
          <color theme="1"/>
        </right>
        <top/>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border>
        <bottom style="thin">
          <color theme="1"/>
        </bottom>
      </border>
    </dxf>
    <dxf>
      <font>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border diagonalUp="0" diagonalDown="0" outline="0">
        <left style="thin">
          <color theme="1"/>
        </left>
        <right style="thin">
          <color theme="1"/>
        </right>
        <top/>
        <bottom/>
      </border>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border>
        <bottom style="thin">
          <color theme="1"/>
        </bottom>
      </border>
    </dxf>
    <dxf>
      <font>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border diagonalUp="0" diagonalDown="0" outline="0">
        <left style="thin">
          <color theme="1"/>
        </left>
        <right style="thin">
          <color theme="1"/>
        </right>
        <top/>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border>
        <bottom style="thin">
          <color theme="1"/>
        </bottom>
      </border>
    </dxf>
    <dxf>
      <font>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border diagonalUp="0" diagonalDown="0" outline="0">
        <left style="thin">
          <color theme="1"/>
        </left>
        <right style="thin">
          <color theme="1"/>
        </right>
        <top/>
        <bottom/>
      </border>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font>
        <strike val="0"/>
        <outline val="0"/>
        <shadow val="0"/>
        <u val="none"/>
        <vertAlign val="baseline"/>
        <sz val="11"/>
        <name val="Calibri"/>
        <family val="2"/>
        <scheme val="minor"/>
      </font>
    </dxf>
    <dxf>
      <font>
        <b val="0"/>
        <strike val="0"/>
        <outline val="0"/>
        <shadow val="0"/>
        <u val="none"/>
        <vertAlign val="baseline"/>
        <sz val="11"/>
        <color auto="1"/>
        <name val="Calibri"/>
        <family val="2"/>
        <scheme val="minor"/>
      </font>
      <fill>
        <patternFill patternType="none">
          <fgColor indexed="64"/>
          <bgColor auto="1"/>
        </patternFill>
      </fill>
      <alignment horizontal="center" vertical="center" textRotation="0" indent="0" justifyLastLine="0" shrinkToFit="0" readingOrder="0"/>
      <border diagonalUp="0" diagonalDown="0" outline="0">
        <left style="thin">
          <color theme="1"/>
        </left>
        <right style="thin">
          <color theme="1"/>
        </right>
        <top/>
        <bottom/>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b/>
        <i val="0"/>
        <color theme="0"/>
      </font>
      <fill>
        <patternFill patternType="solid">
          <bgColor rgb="FFF25022"/>
        </patternFill>
      </fill>
      <border>
        <left/>
        <right/>
        <top/>
        <bottom/>
        <vertical/>
        <horizontal/>
      </border>
    </dxf>
    <dxf>
      <font>
        <color theme="0" tint="-0.24994659260841701"/>
      </font>
    </dxf>
    <dxf>
      <font>
        <color theme="0" tint="-0.24994659260841701"/>
      </font>
    </dxf>
    <dxf>
      <font>
        <color theme="0" tint="-0.24994659260841701"/>
      </font>
    </dxf>
    <dxf>
      <font>
        <color theme="0" tint="-0.24994659260841701"/>
      </font>
    </dxf>
    <dxf>
      <font>
        <color theme="0" tint="-0.24994659260841701"/>
      </font>
    </dxf>
    <dxf>
      <font>
        <color theme="0" tint="-0.24994659260841701"/>
      </font>
    </dxf>
    <dxf>
      <font>
        <color theme="0" tint="-0.24994659260841701"/>
      </font>
    </dxf>
    <dxf>
      <font>
        <color theme="0" tint="-0.24994659260841701"/>
      </font>
    </dxf>
    <dxf>
      <font>
        <color theme="0" tint="-0.24994659260841701"/>
      </font>
    </dxf>
    <dxf>
      <font>
        <color theme="0" tint="-0.24994659260841701"/>
      </font>
    </dxf>
    <dxf>
      <font>
        <color theme="0" tint="-0.24994659260841701"/>
      </font>
    </dxf>
    <dxf>
      <font>
        <color theme="0" tint="-0.24994659260841701"/>
      </font>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0" formatCode="General"/>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bottom"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none"/>
      </font>
      <fill>
        <patternFill patternType="none">
          <fgColor rgb="FF000000"/>
          <bgColor auto="1"/>
        </patternFill>
      </fill>
    </dxf>
    <dxf>
      <font>
        <strike val="0"/>
        <outline val="0"/>
        <shadow val="0"/>
        <u val="none"/>
        <vertAlign val="baseline"/>
        <sz val="11"/>
        <color auto="1"/>
        <name val="Calibri"/>
        <family val="2"/>
        <scheme val="none"/>
      </font>
      <fill>
        <patternFill patternType="none">
          <fgColor rgb="FF000000"/>
          <bgColor auto="1"/>
        </patternFill>
      </fill>
    </dxf>
    <dxf>
      <font>
        <b val="0"/>
        <i val="0"/>
        <strike val="0"/>
        <condense val="0"/>
        <extend val="0"/>
        <outline val="0"/>
        <shadow val="0"/>
        <u val="none"/>
        <vertAlign val="baseline"/>
        <sz val="11"/>
        <color auto="1"/>
        <name val="游ゴシック"/>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游ゴシック"/>
        <family val="2"/>
        <scheme val="minor"/>
      </font>
      <alignment horizontal="general" vertical="bottom" textRotation="0" wrapText="1" indent="0" justifyLastLine="0" shrinkToFit="0" readingOrder="0"/>
    </dxf>
    <dxf>
      <font>
        <strike val="0"/>
        <outline val="0"/>
        <shadow val="0"/>
        <u val="none"/>
        <vertAlign val="baseline"/>
        <sz val="11"/>
        <color auto="1"/>
        <name val="游ゴシック"/>
        <family val="2"/>
        <scheme val="minor"/>
      </font>
      <fill>
        <patternFill patternType="none">
          <fgColor indexed="64"/>
          <bgColor auto="1"/>
        </patternFill>
      </fill>
    </dxf>
    <dxf>
      <font>
        <strike val="0"/>
        <outline val="0"/>
        <shadow val="0"/>
        <u val="none"/>
        <vertAlign val="baseline"/>
        <sz val="11"/>
        <color auto="1"/>
        <name val="游ゴシック"/>
        <family val="2"/>
        <scheme val="minor"/>
      </font>
      <fill>
        <patternFill patternType="none">
          <fgColor indexed="64"/>
          <bgColor auto="1"/>
        </patternFill>
      </fill>
    </dxf>
    <dxf>
      <font>
        <strike val="0"/>
        <outline val="0"/>
        <shadow val="0"/>
        <u val="none"/>
        <vertAlign val="baseline"/>
        <sz val="11"/>
        <color auto="1"/>
        <name val="游ゴシック"/>
        <family val="2"/>
        <scheme val="minor"/>
      </font>
      <fill>
        <patternFill patternType="none">
          <fgColor indexed="64"/>
          <bgColor auto="1"/>
        </patternFill>
      </fill>
    </dxf>
    <dxf>
      <font>
        <b val="0"/>
        <i val="0"/>
        <strike val="0"/>
        <condense val="0"/>
        <extend val="0"/>
        <outline val="0"/>
        <shadow val="0"/>
        <u val="none"/>
        <vertAlign val="baseline"/>
        <sz val="11"/>
        <color auto="1"/>
        <name val="游ゴシック"/>
        <family val="2"/>
        <scheme val="minor"/>
      </font>
      <alignment horizontal="center"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center" textRotation="0" wrapText="1" indent="0" justifyLastLine="0" shrinkToFit="0" readingOrder="0"/>
    </dxf>
    <dxf>
      <font>
        <strike val="0"/>
        <outline val="0"/>
        <shadow val="0"/>
        <u val="none"/>
        <vertAlign val="baseline"/>
        <sz val="11"/>
        <color auto="1"/>
        <name val="游ゴシック"/>
        <family val="2"/>
        <scheme val="minor"/>
      </font>
      <fill>
        <patternFill patternType="none">
          <fgColor indexed="64"/>
          <bgColor auto="1"/>
        </patternFill>
      </fill>
      <alignment horizontal="center" vertical="bottom" textRotation="0" indent="0" justifyLastLine="0" shrinkToFit="0" readingOrder="0"/>
    </dxf>
    <dxf>
      <font>
        <b val="0"/>
        <i val="0"/>
        <strike val="0"/>
        <condense val="0"/>
        <extend val="0"/>
        <outline val="0"/>
        <shadow val="0"/>
        <u val="none"/>
        <vertAlign val="baseline"/>
        <sz val="11"/>
        <color auto="1"/>
        <name val="游ゴシック"/>
        <family val="2"/>
        <scheme val="minor"/>
      </font>
      <fill>
        <patternFill patternType="none">
          <fgColor indexed="64"/>
          <bgColor indexed="65"/>
        </patternFill>
      </fill>
      <alignment horizontal="center" vertical="bottom" textRotation="0" wrapText="1" indent="0" justifyLastLine="0" shrinkToFit="0" readingOrder="0"/>
    </dxf>
    <dxf>
      <font>
        <b val="0"/>
        <i val="0"/>
        <strike val="0"/>
        <condense val="0"/>
        <extend val="0"/>
        <outline val="0"/>
        <shadow val="0"/>
        <u val="none"/>
        <vertAlign val="baseline"/>
        <sz val="11"/>
        <color auto="1"/>
        <name val="游ゴシック"/>
        <family val="2"/>
        <scheme val="minor"/>
      </font>
      <fill>
        <patternFill patternType="none">
          <fgColor indexed="64"/>
          <bgColor indexed="65"/>
        </patternFill>
      </fill>
      <alignment horizontal="center" vertical="bottom" textRotation="0" wrapText="1" indent="0" justifyLastLine="0" shrinkToFit="0" readingOrder="0"/>
    </dxf>
    <dxf>
      <font>
        <b val="0"/>
        <i val="0"/>
        <strike val="0"/>
        <condense val="0"/>
        <extend val="0"/>
        <outline val="0"/>
        <shadow val="0"/>
        <u val="none"/>
        <vertAlign val="baseline"/>
        <sz val="11"/>
        <color auto="1"/>
        <name val="游ゴシック"/>
        <family val="2"/>
        <scheme val="minor"/>
      </font>
      <fill>
        <patternFill patternType="none">
          <bgColor auto="1"/>
        </patternFill>
      </fill>
      <alignment horizontal="center" vertical="bottom" textRotation="0" indent="0" justifyLastLine="0" shrinkToFit="0" readingOrder="0"/>
    </dxf>
    <dxf>
      <font>
        <b val="0"/>
        <i val="0"/>
        <strike val="0"/>
        <condense val="0"/>
        <extend val="0"/>
        <outline val="0"/>
        <shadow val="0"/>
        <u val="none"/>
        <vertAlign val="baseline"/>
        <sz val="11"/>
        <color auto="1"/>
        <name val="游ゴシック"/>
        <family val="2"/>
        <scheme val="minor"/>
      </font>
      <fill>
        <patternFill patternType="none">
          <bgColor auto="1"/>
        </patternFill>
      </fill>
      <alignment horizontal="center" vertical="bottom" textRotation="0" indent="0" justifyLastLine="0" shrinkToFit="0" readingOrder="0"/>
    </dxf>
    <dxf>
      <font>
        <b val="0"/>
        <i val="0"/>
        <strike val="0"/>
        <condense val="0"/>
        <extend val="0"/>
        <outline val="0"/>
        <shadow val="0"/>
        <u val="none"/>
        <vertAlign val="baseline"/>
        <sz val="11"/>
        <color auto="1"/>
        <name val="游ゴシック"/>
        <family val="2"/>
        <scheme val="minor"/>
      </font>
      <fill>
        <patternFill patternType="none">
          <fgColor indexed="64"/>
          <bgColor indexed="65"/>
        </patternFill>
      </fill>
      <alignment horizontal="center"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indexed="65"/>
        </patternFill>
      </fill>
      <alignment horizontal="center" vertical="bottom" textRotation="0" wrapText="1" indent="0" justifyLastLine="0" shrinkToFit="0" readingOrder="0"/>
    </dxf>
    <dxf>
      <font>
        <b val="0"/>
        <i val="0"/>
        <strike val="0"/>
        <condense val="0"/>
        <extend val="0"/>
        <outline val="0"/>
        <shadow val="0"/>
        <u val="none"/>
        <vertAlign val="baseline"/>
        <sz val="11"/>
        <color auto="1"/>
        <name val="游ゴシック"/>
        <family val="2"/>
        <scheme val="minor"/>
      </font>
      <alignment horizontal="center" vertical="center" textRotation="0" wrapText="1" indent="0" justifyLastLine="0" shrinkToFit="0" readingOrder="0"/>
    </dxf>
    <dxf>
      <font>
        <b val="0"/>
        <i val="0"/>
        <strike val="0"/>
        <condense val="0"/>
        <extend val="0"/>
        <outline val="0"/>
        <shadow val="0"/>
        <u val="none"/>
        <vertAlign val="baseline"/>
        <sz val="11"/>
        <color auto="1"/>
        <name val="游ゴシック"/>
        <family val="2"/>
        <scheme val="minor"/>
      </font>
      <alignment horizontal="center" vertical="center" textRotation="0" wrapText="1" indent="0" justifyLastLine="0" shrinkToFit="0" readingOrder="0"/>
    </dxf>
    <dxf>
      <font>
        <b val="0"/>
        <i val="0"/>
        <strike val="0"/>
        <condense val="0"/>
        <extend val="0"/>
        <outline val="0"/>
        <shadow val="0"/>
        <u val="none"/>
        <vertAlign val="baseline"/>
        <sz val="11"/>
        <color auto="1"/>
        <name val="游ゴシック"/>
        <family val="2"/>
        <scheme val="minor"/>
      </font>
      <alignment horizontal="center" vertical="center" textRotation="0" wrapText="1" indent="0" justifyLastLine="0" shrinkToFit="0" readingOrder="0"/>
    </dxf>
    <dxf>
      <font>
        <b val="0"/>
        <i val="0"/>
        <strike val="0"/>
        <condense val="0"/>
        <extend val="0"/>
        <outline val="0"/>
        <shadow val="0"/>
        <u val="none"/>
        <vertAlign val="baseline"/>
        <sz val="11"/>
        <color auto="1"/>
        <name val="游ゴシック"/>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游ゴシック"/>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游ゴシック"/>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游ゴシック"/>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11"/>
        <color auto="1"/>
        <name val="游ゴシック"/>
        <family val="2"/>
        <scheme val="minor"/>
      </font>
      <alignment horizontal="general" vertical="bottom" textRotation="0" wrapText="1" indent="0" justifyLastLine="0" shrinkToFit="0" readingOrder="0"/>
    </dxf>
    <dxf>
      <font>
        <strike val="0"/>
        <outline val="0"/>
        <shadow val="0"/>
        <u val="none"/>
        <vertAlign val="baseline"/>
        <sz val="11"/>
        <color auto="1"/>
        <name val="游ゴシック"/>
        <family val="2"/>
        <scheme val="minor"/>
      </font>
      <fill>
        <patternFill patternType="none">
          <fgColor indexed="64"/>
          <bgColor auto="1"/>
        </patternFill>
      </fill>
    </dxf>
    <dxf>
      <font>
        <strike val="0"/>
        <outline val="0"/>
        <shadow val="0"/>
        <u val="none"/>
        <vertAlign val="baseline"/>
        <sz val="11"/>
        <color auto="1"/>
        <name val="游ゴシック"/>
        <family val="2"/>
        <scheme val="minor"/>
      </font>
      <fill>
        <patternFill patternType="none">
          <fgColor indexed="64"/>
          <bgColor auto="1"/>
        </patternFill>
      </fill>
    </dxf>
    <dxf>
      <font>
        <b val="0"/>
        <i val="0"/>
        <strike val="0"/>
        <condense val="0"/>
        <extend val="0"/>
        <outline val="0"/>
        <shadow val="0"/>
        <u val="none"/>
        <vertAlign val="baseline"/>
        <sz val="11"/>
        <color auto="1"/>
        <name val="游ゴシック"/>
        <family val="2"/>
        <scheme val="minor"/>
      </font>
      <fill>
        <patternFill patternType="none">
          <fgColor indexed="64"/>
          <bgColor indexed="65"/>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游ゴシック"/>
        <family val="2"/>
        <scheme val="minor"/>
      </font>
      <fill>
        <patternFill patternType="none">
          <fgColor indexed="64"/>
          <bgColor indexed="65"/>
        </patternFill>
      </fill>
      <alignment horizontal="general" vertical="bottom" textRotation="0" wrapText="1" indent="0" justifyLastLine="0" shrinkToFit="0" readingOrder="0"/>
    </dxf>
    <dxf>
      <font>
        <strike val="0"/>
        <outline val="0"/>
        <shadow val="0"/>
        <u val="none"/>
        <vertAlign val="baseline"/>
        <sz val="11"/>
        <color auto="1"/>
        <name val="游ゴシック"/>
        <family val="2"/>
        <scheme val="minor"/>
      </font>
      <fill>
        <patternFill patternType="none">
          <fgColor indexed="64"/>
          <bgColor auto="1"/>
        </patternFill>
      </fill>
    </dxf>
    <dxf>
      <font>
        <strike val="0"/>
        <outline val="0"/>
        <shadow val="0"/>
        <u val="none"/>
        <vertAlign val="baseline"/>
        <sz val="11"/>
        <color auto="1"/>
        <name val="游ゴシック"/>
        <family val="2"/>
        <scheme val="minor"/>
      </font>
      <fill>
        <patternFill patternType="none">
          <fgColor indexed="64"/>
          <bgColor auto="1"/>
        </patternFill>
      </fill>
    </dxf>
    <dxf>
      <font>
        <b val="0"/>
        <i val="0"/>
        <strike val="0"/>
        <condense val="0"/>
        <extend val="0"/>
        <outline val="0"/>
        <shadow val="0"/>
        <u val="none"/>
        <vertAlign val="baseline"/>
        <sz val="11"/>
        <color auto="1"/>
        <name val="游ゴシック"/>
        <family val="2"/>
        <scheme val="minor"/>
      </font>
      <fill>
        <patternFill patternType="none">
          <bgColor auto="1"/>
        </patternFill>
      </fill>
    </dxf>
    <dxf>
      <font>
        <strike val="0"/>
        <outline val="0"/>
        <shadow val="0"/>
        <u val="none"/>
        <vertAlign val="baseline"/>
        <sz val="11"/>
        <color auto="1"/>
        <name val="游ゴシック"/>
        <family val="2"/>
        <scheme val="minor"/>
      </font>
      <fill>
        <patternFill patternType="none">
          <fgColor indexed="64"/>
          <bgColor auto="1"/>
        </patternFill>
      </fill>
    </dxf>
    <dxf>
      <font>
        <strike val="0"/>
        <outline val="0"/>
        <shadow val="0"/>
        <u val="none"/>
        <vertAlign val="baseline"/>
        <sz val="11"/>
        <color auto="1"/>
        <name val="游ゴシック"/>
        <family val="2"/>
        <scheme val="minor"/>
      </font>
      <fill>
        <patternFill patternType="none">
          <fgColor indexed="64"/>
          <bgColor auto="1"/>
        </patternFill>
      </fill>
      <alignment horizontal="center" vertical="bottom" textRotation="0" indent="0" justifyLastLine="0" shrinkToFit="0" readingOrder="0"/>
    </dxf>
    <dxf>
      <font>
        <strike val="0"/>
        <outline val="0"/>
        <shadow val="0"/>
        <u val="none"/>
        <vertAlign val="baseline"/>
        <sz val="11"/>
        <color auto="1"/>
        <name val="Calibri"/>
        <family val="2"/>
        <scheme val="none"/>
      </font>
      <fill>
        <patternFill patternType="none">
          <fgColor rgb="FF000000"/>
          <bgColor auto="1"/>
        </patternFill>
      </fill>
    </dxf>
    <dxf>
      <font>
        <strike val="0"/>
        <outline val="0"/>
        <shadow val="0"/>
        <u val="none"/>
        <vertAlign val="baseline"/>
        <sz val="11"/>
        <color auto="1"/>
        <name val="游ゴシック"/>
        <family val="2"/>
        <scheme val="minor"/>
      </font>
      <fill>
        <patternFill patternType="none">
          <fgColor indexed="64"/>
          <bgColor auto="1"/>
        </patternFill>
      </fill>
      <alignment horizontal="general" vertical="bottom" textRotation="0" wrapText="1" indent="0" justifyLastLine="0" shrinkToFit="0" readingOrder="0"/>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0" formatCode="General"/>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color theme="0"/>
      </font>
      <fill>
        <patternFill>
          <bgColor rgb="FFF25022"/>
        </patternFill>
      </fill>
    </dxf>
    <dxf>
      <fill>
        <patternFill>
          <bgColor rgb="FF7FBA00"/>
        </patternFill>
      </fill>
    </dxf>
    <dxf>
      <fill>
        <patternFill>
          <bgColor rgb="FF00A4EF"/>
        </patternFill>
      </fill>
    </dxf>
    <dxf>
      <fill>
        <patternFill>
          <bgColor rgb="FFFFB900"/>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border diagonalUp="0" diagonalDown="0">
        <left style="thin">
          <color rgb="FF000000"/>
        </left>
        <right style="thin">
          <color rgb="FF000000"/>
        </right>
        <top style="thin">
          <color rgb="FF000000"/>
        </top>
        <bottom style="thin">
          <color rgb="FF000000"/>
        </bottom>
      </border>
    </dxf>
    <dxf>
      <alignment horizontal="general" vertical="bottom" textRotation="0" wrapText="1" indent="0" justifyLastLine="0" shrinkToFit="0" readingOrder="0"/>
    </dxf>
    <dxf>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numFmt numFmtId="169" formatCode="[$-F800]dddd\,\ mmmm\ dd\,\ yyyy"/>
      <fill>
        <patternFill patternType="none">
          <fgColor indexed="64"/>
          <bgColor indexed="65"/>
        </patternFill>
      </fill>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numFmt numFmtId="169" formatCode="[$-F800]dddd\,\ mmmm\ dd\,\ yyyy"/>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i val="0"/>
        <strike val="0"/>
        <condense val="0"/>
        <extend val="0"/>
        <outline val="0"/>
        <shadow val="0"/>
        <u val="none"/>
        <vertAlign val="baseline"/>
        <sz val="11"/>
        <color auto="1"/>
        <name val="Calibri"/>
        <family val="2"/>
        <scheme val="minor"/>
      </font>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0"/>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ill>
        <patternFill>
          <bgColor rgb="FF7FBA00"/>
        </patternFill>
      </fill>
    </dxf>
    <dxf>
      <font>
        <color theme="0"/>
      </font>
      <fill>
        <patternFill>
          <bgColor rgb="FFF25022"/>
        </patternFill>
      </fill>
    </dxf>
    <dxf>
      <font>
        <color theme="0"/>
      </font>
      <fill>
        <patternFill>
          <bgColor rgb="FFF25022"/>
        </patternFill>
      </fill>
    </dxf>
    <dxf>
      <fill>
        <patternFill>
          <bgColor rgb="FF7FBA00"/>
        </patternFill>
      </fill>
    </dxf>
    <dxf>
      <fill>
        <patternFill>
          <bgColor rgb="FF7FBA00"/>
        </patternFill>
      </fill>
    </dxf>
    <dxf>
      <font>
        <color theme="0"/>
      </font>
      <fill>
        <patternFill>
          <bgColor rgb="FFF25022"/>
        </patternFill>
      </fill>
    </dxf>
    <dxf>
      <font>
        <color theme="0"/>
      </font>
      <fill>
        <patternFill>
          <bgColor rgb="FFF25022"/>
        </patternFill>
      </fill>
    </dxf>
    <dxf>
      <fill>
        <patternFill>
          <bgColor rgb="FF7FBA00"/>
        </patternFill>
      </fill>
    </dxf>
    <dxf>
      <font>
        <color theme="0"/>
      </font>
      <fill>
        <patternFill>
          <bgColor rgb="FFF25022"/>
        </patternFill>
      </fill>
      <border>
        <vertical/>
        <horizontal/>
      </border>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0"/>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ill>
        <patternFill>
          <bgColor rgb="FF7FBA00"/>
        </patternFill>
      </fill>
    </dxf>
    <dxf>
      <font>
        <color theme="0"/>
      </font>
      <fill>
        <patternFill>
          <bgColor rgb="FFF25022"/>
        </patternFill>
      </fill>
    </dxf>
    <dxf>
      <font>
        <color theme="0"/>
      </font>
      <fill>
        <patternFill>
          <bgColor rgb="FFF25022"/>
        </patternFill>
      </fill>
    </dxf>
    <dxf>
      <fill>
        <patternFill>
          <bgColor rgb="FF7FBA00"/>
        </patternFill>
      </fill>
    </dxf>
    <dxf>
      <fill>
        <patternFill>
          <bgColor rgb="FF7FBA00"/>
        </patternFill>
      </fill>
    </dxf>
    <dxf>
      <font>
        <color theme="0"/>
      </font>
      <fill>
        <patternFill>
          <bgColor rgb="FFF25022"/>
        </patternFill>
      </fill>
    </dxf>
    <dxf>
      <font>
        <color theme="0"/>
      </font>
      <fill>
        <patternFill>
          <bgColor rgb="FFF25022"/>
        </patternFill>
      </fill>
    </dxf>
    <dxf>
      <fill>
        <patternFill>
          <bgColor rgb="FF7FBA00"/>
        </patternFill>
      </fill>
    </dxf>
    <dxf>
      <font>
        <color auto="1"/>
      </font>
      <fill>
        <patternFill>
          <bgColor rgb="FF7FBA00"/>
        </patternFill>
      </fill>
      <border>
        <vertical/>
        <horizontal/>
      </border>
    </dxf>
    <dxf>
      <font>
        <color theme="0"/>
      </font>
      <fill>
        <patternFill>
          <bgColor rgb="FFF25022"/>
        </patternFill>
      </fill>
      <border>
        <vertical/>
        <horizontal/>
      </border>
    </dxf>
    <dxf>
      <font>
        <b val="0"/>
        <i val="0"/>
        <strike val="0"/>
        <condense val="0"/>
        <extend val="0"/>
        <outline val="0"/>
        <shadow val="0"/>
        <u val="none"/>
        <vertAlign val="baseline"/>
        <sz val="11"/>
        <color rgb="FF161616"/>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numFmt numFmtId="169" formatCode="[$-F800]dddd\,\ mmmm\ dd\,\ yyyy"/>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indexed="65"/>
        </patternFill>
      </fill>
      <alignment horizontal="general" vertical="bottom"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 formatCode="0"/>
    </dxf>
    <dxf>
      <font>
        <b val="0"/>
        <i val="0"/>
        <strike val="0"/>
        <condense val="0"/>
        <extend val="0"/>
        <outline val="0"/>
        <shadow val="0"/>
        <u val="none"/>
        <vertAlign val="baseline"/>
        <sz val="11"/>
        <color auto="1"/>
        <name val="Calibri"/>
        <family val="2"/>
        <scheme val="minor"/>
      </font>
      <numFmt numFmtId="1" formatCode="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general" vertical="bottom" textRotation="0" wrapText="0" indent="0" justifyLastLine="0" shrinkToFit="0" readingOrder="0"/>
    </dxf>
    <dxf>
      <numFmt numFmtId="169" formatCode="[$-F800]dddd\,\ mmmm\ dd\,\ yyyy"/>
      <fill>
        <patternFill patternType="solid">
          <fgColor indexed="64"/>
          <bgColor theme="0"/>
        </patternFill>
      </fill>
      <alignment horizontal="left" vertical="center" textRotation="0" wrapText="0" indent="0" justifyLastLine="0" shrinkToFit="0" readingOrder="0"/>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1"/>
        <color rgb="FF161616"/>
        <name val="Calibri"/>
        <family val="2"/>
        <scheme val="minor"/>
      </font>
      <numFmt numFmtId="169" formatCode="[$-F800]dddd\,\ mmmm\ dd\,\ yyyy"/>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numFmt numFmtId="169" formatCode="[$-F800]dddd\,\ mmmm\ dd\,\ yyyy"/>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none"/>
      </font>
      <alignment horizontal="general" vertical="bottom" textRotation="0" wrapText="1" indent="0" justifyLastLine="0" shrinkToFit="0" readingOrder="0"/>
    </dxf>
    <dxf>
      <font>
        <b/>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ill>
        <patternFill>
          <bgColor rgb="FF7FBA00"/>
        </patternFill>
      </fill>
    </dxf>
    <dxf>
      <font>
        <color theme="0"/>
      </font>
      <fill>
        <patternFill>
          <bgColor rgb="FFF25022"/>
        </patternFill>
      </fill>
    </dxf>
    <dxf>
      <font>
        <color theme="0"/>
      </font>
      <fill>
        <patternFill>
          <bgColor rgb="FFF25022"/>
        </patternFill>
      </fill>
    </dxf>
    <dxf>
      <fill>
        <patternFill>
          <bgColor rgb="FF7FBA00"/>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ertAlign val="baseline"/>
        <sz val="11"/>
        <color theme="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vertAlign val="baseline"/>
        <sz val="11"/>
        <color theme="1"/>
        <name val="Calibri"/>
        <family val="2"/>
        <scheme val="minor"/>
      </font>
      <fill>
        <patternFill patternType="none">
          <fgColor indexed="64"/>
          <bgColor auto="1"/>
        </patternFill>
      </fill>
    </dxf>
    <dxf>
      <font>
        <strike val="0"/>
        <outline val="0"/>
        <shadow val="0"/>
        <u val="none"/>
        <vertAlign val="baseline"/>
        <sz val="11"/>
        <color theme="1"/>
        <name val="Calibri"/>
        <family val="2"/>
        <scheme val="minor"/>
      </font>
      <fill>
        <patternFill patternType="none">
          <fgColor indexed="64"/>
          <bgColor auto="1"/>
        </patternFill>
      </fill>
      <alignment horizontal="general" vertical="bottom" textRotation="0" wrapText="0" indent="0" justifyLastLine="0" shrinkToFit="0" readingOrder="0"/>
      <border diagonalUp="0" diagonalDown="0" outline="0">
        <left style="thin">
          <color indexed="64"/>
        </left>
        <right style="thin">
          <color indexed="64"/>
        </right>
        <top/>
        <bottom/>
      </border>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indexed="65"/>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strike val="0"/>
        <outline val="0"/>
        <shadow val="0"/>
        <u val="none"/>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numFmt numFmtId="174" formatCode="&quot;$&quot;#,##0"/>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1"/>
        <color auto="1"/>
        <name val="Calibri"/>
        <family val="2"/>
        <scheme val="minor"/>
      </font>
      <numFmt numFmtId="174" formatCode="&quot;$&quot;#,##0"/>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dxf>
    <dxf>
      <font>
        <strike val="0"/>
        <outline val="0"/>
        <shadow val="0"/>
        <u val="none"/>
        <vertAlign val="baseline"/>
        <sz val="11"/>
        <color auto="1"/>
        <name val="Calibri"/>
        <family val="2"/>
        <scheme val="minor"/>
      </font>
      <fill>
        <patternFill patternType="none">
          <fgColor indexed="64"/>
          <bgColor auto="1"/>
        </patternFill>
      </fill>
      <alignment vertical="center" textRotation="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center" textRotation="0" wrapText="1" indent="0" justifyLastLine="0" shrinkToFit="0" readingOrder="0"/>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1"/>
      </font>
      <fill>
        <patternFill>
          <bgColor rgb="FF7FBA00"/>
        </patternFill>
      </fill>
    </dxf>
    <dxf>
      <font>
        <color theme="1"/>
      </font>
      <fill>
        <patternFill>
          <bgColor rgb="FF00A4EF"/>
        </patternFill>
      </fill>
    </dxf>
    <dxf>
      <font>
        <color theme="1"/>
      </font>
      <fill>
        <patternFill>
          <bgColor rgb="FFFFB900"/>
        </patternFill>
      </fill>
    </dxf>
    <dxf>
      <font>
        <color theme="0"/>
      </font>
      <fill>
        <patternFill>
          <bgColor rgb="FF747474"/>
        </patternFill>
      </fill>
    </dxf>
    <dxf>
      <fill>
        <patternFill>
          <bgColor rgb="FF7FBA00"/>
        </patternFill>
      </fill>
    </dxf>
    <dxf>
      <font>
        <color theme="0"/>
      </font>
      <fill>
        <patternFill>
          <bgColor rgb="FF00A4EF"/>
        </patternFill>
      </fill>
    </dxf>
    <dxf>
      <fill>
        <patternFill>
          <bgColor rgb="FFFFB900"/>
        </patternFill>
      </fill>
    </dxf>
    <dxf>
      <fill>
        <patternFill>
          <bgColor rgb="FF7FBA00"/>
        </patternFill>
      </fill>
    </dxf>
    <dxf>
      <font>
        <color theme="0"/>
      </font>
      <fill>
        <patternFill>
          <bgColor rgb="FF00A4EF"/>
        </patternFill>
      </fill>
    </dxf>
    <dxf>
      <fill>
        <patternFill>
          <bgColor rgb="FFFFB900"/>
        </patternFill>
      </fill>
    </dxf>
    <dxf>
      <fill>
        <patternFill>
          <bgColor rgb="FF7FBA00"/>
        </patternFill>
      </fill>
    </dxf>
    <dxf>
      <font>
        <color theme="0"/>
      </font>
      <fill>
        <patternFill>
          <bgColor rgb="FF00A4EF"/>
        </patternFill>
      </fill>
    </dxf>
    <dxf>
      <fill>
        <patternFill>
          <bgColor rgb="FFFFB900"/>
        </patternFill>
      </fill>
    </dxf>
    <dxf>
      <fill>
        <patternFill>
          <bgColor rgb="FF7FBA00"/>
        </patternFill>
      </fill>
    </dxf>
    <dxf>
      <font>
        <color theme="0"/>
      </font>
      <fill>
        <patternFill>
          <bgColor rgb="FF00A4EF"/>
        </patternFill>
      </fill>
    </dxf>
    <dxf>
      <fill>
        <patternFill>
          <bgColor rgb="FFFFB900"/>
        </patternFill>
      </fill>
    </dxf>
    <dxf>
      <fill>
        <patternFill>
          <bgColor rgb="FFFFB900"/>
        </patternFill>
      </fill>
    </dxf>
    <dxf>
      <fill>
        <patternFill>
          <bgColor rgb="FF7FBA00"/>
        </patternFill>
      </fill>
    </dxf>
    <dxf>
      <font>
        <color theme="0"/>
      </font>
      <fill>
        <patternFill>
          <bgColor rgb="FF00A4EF"/>
        </patternFill>
      </fill>
    </dxf>
    <dxf>
      <fill>
        <patternFill>
          <bgColor rgb="FF7FBA00"/>
        </patternFill>
      </fill>
    </dxf>
    <dxf>
      <fill>
        <patternFill>
          <bgColor rgb="FFFFB900"/>
        </patternFill>
      </fill>
    </dxf>
    <dxf>
      <font>
        <color theme="0"/>
      </font>
      <fill>
        <patternFill>
          <bgColor rgb="FF00A4EF"/>
        </patternFill>
      </fill>
    </dxf>
    <dxf>
      <fill>
        <patternFill>
          <bgColor rgb="FF7FBA00"/>
        </patternFill>
      </fill>
    </dxf>
    <dxf>
      <font>
        <color theme="0"/>
      </font>
      <fill>
        <patternFill>
          <bgColor rgb="FF00A4EF"/>
        </patternFill>
      </fill>
    </dxf>
    <dxf>
      <fill>
        <patternFill>
          <bgColor rgb="FFFFB900"/>
        </patternFill>
      </fill>
    </dxf>
    <dxf>
      <fill>
        <patternFill>
          <bgColor rgb="FF7FBA00"/>
        </patternFill>
      </fill>
    </dxf>
    <dxf>
      <font>
        <color theme="0"/>
      </font>
      <fill>
        <patternFill>
          <bgColor rgb="FF00A4EF"/>
        </patternFill>
      </fill>
    </dxf>
    <dxf>
      <fill>
        <patternFill>
          <bgColor rgb="FFFFB900"/>
        </patternFill>
      </fill>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b/>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1"/>
      </font>
      <fill>
        <patternFill>
          <bgColor rgb="FF00A4EF"/>
        </patternFill>
      </fill>
    </dxf>
    <dxf>
      <font>
        <color theme="1"/>
      </font>
      <fill>
        <patternFill>
          <bgColor rgb="FFFFB900"/>
        </patternFill>
      </fill>
    </dxf>
    <dxf>
      <font>
        <color theme="0"/>
      </font>
      <fill>
        <patternFill>
          <bgColor rgb="FF747474"/>
        </patternFill>
      </fill>
    </dxf>
    <dxf>
      <font>
        <color theme="0"/>
      </font>
      <fill>
        <patternFill>
          <bgColor rgb="FFF25022"/>
        </patternFill>
      </fill>
    </dxf>
    <dxf>
      <font>
        <color theme="1"/>
      </font>
      <fill>
        <patternFill>
          <bgColor rgb="FF7FBA00"/>
        </patternFill>
      </fill>
    </dxf>
    <dxf>
      <font>
        <color theme="0"/>
      </font>
      <fill>
        <patternFill>
          <bgColor rgb="FF00A4EF"/>
        </patternFill>
      </fill>
    </dxf>
    <dxf>
      <fill>
        <patternFill>
          <bgColor rgb="FF7FBA00"/>
        </patternFill>
      </fill>
    </dxf>
    <dxf>
      <font>
        <color theme="0"/>
      </font>
      <fill>
        <patternFill>
          <bgColor rgb="FFF25022"/>
        </patternFill>
      </fill>
    </dxf>
    <dxf>
      <fill>
        <patternFill>
          <bgColor rgb="FF7FBA00"/>
        </patternFill>
      </fill>
    </dxf>
    <dxf>
      <font>
        <color theme="0"/>
      </font>
      <fill>
        <patternFill>
          <bgColor rgb="FF00A4EF"/>
        </patternFill>
      </fill>
    </dxf>
    <dxf>
      <font>
        <color theme="0"/>
      </font>
      <fill>
        <patternFill>
          <bgColor rgb="FFF25022"/>
        </patternFill>
      </fill>
    </dxf>
    <dxf>
      <fill>
        <patternFill>
          <bgColor rgb="FF7FBA00"/>
        </patternFill>
      </fill>
    </dxf>
    <dxf>
      <font>
        <color theme="0"/>
      </font>
      <fill>
        <patternFill>
          <bgColor rgb="FFF25022"/>
        </patternFill>
      </fill>
    </dxf>
    <dxf>
      <font>
        <color theme="0"/>
      </font>
      <fill>
        <patternFill>
          <bgColor rgb="FF00A4EF"/>
        </patternFill>
      </fill>
    </dxf>
    <dxf>
      <fill>
        <patternFill>
          <bgColor rgb="FF7FBA00"/>
        </patternFill>
      </fill>
    </dxf>
    <dxf>
      <font>
        <color theme="0"/>
      </font>
      <fill>
        <patternFill>
          <bgColor rgb="FF00A4EF"/>
        </patternFill>
      </fill>
    </dxf>
    <dxf>
      <font>
        <color theme="0"/>
      </font>
      <fill>
        <patternFill>
          <bgColor rgb="FFF25022"/>
        </patternFill>
      </fill>
    </dxf>
    <dxf>
      <font>
        <color theme="0"/>
      </font>
      <fill>
        <patternFill>
          <bgColor rgb="FFF25022"/>
        </patternFill>
      </fill>
    </dxf>
    <dxf>
      <font>
        <color theme="0"/>
      </font>
      <fill>
        <patternFill>
          <bgColor rgb="FF00A4EF"/>
        </patternFill>
      </fill>
    </dxf>
    <dxf>
      <fill>
        <patternFill>
          <bgColor rgb="FF7FBA00"/>
        </patternFill>
      </fill>
    </dxf>
    <dxf>
      <font>
        <color theme="0"/>
      </font>
      <fill>
        <patternFill>
          <bgColor rgb="FFF25022"/>
        </patternFill>
      </fill>
    </dxf>
    <dxf>
      <fill>
        <patternFill>
          <bgColor rgb="FF7FBA00"/>
        </patternFill>
      </fill>
    </dxf>
    <dxf>
      <font>
        <color theme="0"/>
      </font>
      <fill>
        <patternFill>
          <bgColor rgb="FF00A4EF"/>
        </patternFill>
      </fill>
    </dxf>
    <dxf>
      <fill>
        <patternFill>
          <bgColor rgb="FF7FBA00"/>
        </patternFill>
      </fill>
    </dxf>
    <dxf>
      <font>
        <color theme="0"/>
      </font>
      <fill>
        <patternFill>
          <bgColor rgb="FF00A4EF"/>
        </patternFill>
      </fill>
    </dxf>
    <dxf>
      <font>
        <color theme="0"/>
      </font>
      <fill>
        <patternFill>
          <bgColor rgb="FFF25022"/>
        </patternFill>
      </fill>
    </dxf>
    <dxf>
      <fill>
        <patternFill>
          <bgColor rgb="FF7FBA00"/>
        </patternFill>
      </fill>
    </dxf>
    <dxf>
      <font>
        <color theme="0"/>
      </font>
      <fill>
        <patternFill>
          <bgColor rgb="FFF25022"/>
        </patternFill>
      </fill>
    </dxf>
    <dxf>
      <font>
        <color theme="0"/>
      </font>
      <fill>
        <patternFill>
          <bgColor rgb="FF00A4EF"/>
        </patternFill>
      </fill>
    </dxf>
    <dxf>
      <font>
        <color theme="0"/>
      </font>
      <fill>
        <patternFill>
          <bgColor rgb="FFF25022"/>
        </patternFill>
      </fill>
    </dxf>
    <dxf>
      <font>
        <color theme="1"/>
      </font>
      <fill>
        <patternFill>
          <bgColor rgb="FF7FBA00"/>
        </patternFill>
      </fill>
    </dxf>
    <dxf>
      <font>
        <color theme="0"/>
      </font>
      <fill>
        <patternFill>
          <bgColor rgb="FF00A4EF"/>
        </patternFill>
      </fill>
    </dxf>
    <dxf>
      <font>
        <color theme="0"/>
      </font>
      <fill>
        <patternFill>
          <bgColor rgb="FF00A4EF"/>
        </patternFill>
      </fill>
    </dxf>
    <dxf>
      <font>
        <color theme="0"/>
      </font>
      <fill>
        <patternFill>
          <bgColor rgb="FFF25022"/>
        </patternFill>
      </fill>
    </dxf>
    <dxf>
      <font>
        <color theme="1"/>
      </font>
      <fill>
        <patternFill>
          <bgColor rgb="FF7FBA00"/>
        </patternFill>
      </fill>
    </dxf>
    <dxf>
      <font>
        <color theme="0"/>
      </font>
      <fill>
        <patternFill>
          <bgColor rgb="FF00A4EF"/>
        </patternFill>
      </fill>
    </dxf>
    <dxf>
      <font>
        <color theme="1"/>
      </font>
      <fill>
        <patternFill>
          <bgColor rgb="FF7FBA00"/>
        </patternFill>
      </fill>
    </dxf>
    <dxf>
      <font>
        <color theme="0"/>
      </font>
      <fill>
        <patternFill>
          <bgColor rgb="FFF25022"/>
        </patternFill>
      </fill>
    </dxf>
    <dxf>
      <font>
        <color theme="1"/>
      </font>
      <fill>
        <patternFill>
          <bgColor rgb="FF7FBA00"/>
        </patternFill>
      </fill>
    </dxf>
    <dxf>
      <font>
        <color theme="0"/>
      </font>
      <fill>
        <patternFill>
          <bgColor rgb="FF00A4EF"/>
        </patternFill>
      </fill>
    </dxf>
    <dxf>
      <font>
        <color theme="0"/>
      </font>
      <fill>
        <patternFill>
          <bgColor rgb="FFF25022"/>
        </patternFill>
      </fill>
    </dxf>
    <dxf>
      <font>
        <color theme="0"/>
      </font>
      <fill>
        <patternFill>
          <bgColor rgb="FF00A4EF"/>
        </patternFill>
      </fill>
    </dxf>
    <dxf>
      <font>
        <color theme="0"/>
      </font>
      <fill>
        <patternFill>
          <bgColor rgb="FFF25022"/>
        </patternFill>
      </fill>
    </dxf>
    <dxf>
      <font>
        <color theme="1"/>
      </font>
      <fill>
        <patternFill>
          <bgColor rgb="FF7FBA00"/>
        </patternFill>
      </fill>
    </dxf>
    <dxf>
      <font>
        <color theme="0"/>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1"/>
      </font>
      <fill>
        <patternFill>
          <bgColor rgb="FF7FBA00"/>
        </patternFill>
      </fill>
    </dxf>
    <dxf>
      <font>
        <color theme="0"/>
      </font>
      <fill>
        <patternFill>
          <bgColor rgb="FF00A4EF"/>
        </patternFill>
      </fill>
    </dxf>
    <dxf>
      <font>
        <color theme="0"/>
      </font>
      <fill>
        <patternFill>
          <bgColor rgb="FFF25022"/>
        </patternFill>
      </fill>
    </dxf>
    <dxf>
      <fill>
        <patternFill>
          <bgColor rgb="FF7FBA00"/>
        </patternFill>
      </fill>
    </dxf>
    <dxf>
      <font>
        <color theme="0"/>
      </font>
      <fill>
        <patternFill>
          <bgColor rgb="FF00A4EF"/>
        </patternFill>
      </fill>
    </dxf>
    <dxf>
      <font>
        <color theme="0"/>
      </font>
      <fill>
        <patternFill>
          <bgColor rgb="FFF25022"/>
        </patternFill>
      </fill>
    </dxf>
    <dxf>
      <font>
        <color theme="0"/>
      </font>
      <fill>
        <patternFill>
          <bgColor rgb="FF00A4EF"/>
        </patternFill>
      </fill>
    </dxf>
    <dxf>
      <fill>
        <patternFill>
          <bgColor rgb="FF7FBA00"/>
        </patternFill>
      </fill>
    </dxf>
    <dxf>
      <fill>
        <patternFill>
          <bgColor rgb="FF7FBA00"/>
        </patternFill>
      </fill>
    </dxf>
    <dxf>
      <font>
        <color theme="0"/>
      </font>
      <fill>
        <patternFill>
          <bgColor rgb="FFF25022"/>
        </patternFill>
      </fill>
    </dxf>
    <dxf>
      <font>
        <color theme="0"/>
      </font>
      <fill>
        <patternFill>
          <bgColor rgb="FF00A4EF"/>
        </patternFill>
      </fill>
    </dxf>
    <dxf>
      <fill>
        <patternFill>
          <bgColor rgb="FF7FBA00"/>
        </patternFill>
      </fill>
    </dxf>
    <dxf>
      <font>
        <color theme="0"/>
      </font>
      <fill>
        <patternFill>
          <bgColor rgb="FFF25022"/>
        </patternFill>
      </fill>
    </dxf>
    <dxf>
      <font>
        <color theme="0"/>
      </font>
      <fill>
        <patternFill>
          <bgColor rgb="FF00A4EF"/>
        </patternFill>
      </fill>
    </dxf>
    <dxf>
      <font>
        <color theme="0"/>
      </font>
      <fill>
        <patternFill>
          <bgColor rgb="FFF25022"/>
        </patternFill>
      </fill>
    </dxf>
    <dxf>
      <font>
        <color theme="0"/>
      </font>
      <fill>
        <patternFill>
          <bgColor rgb="FF00A4EF"/>
        </patternFill>
      </fill>
    </dxf>
    <dxf>
      <fill>
        <patternFill>
          <bgColor rgb="FF7FBA00"/>
        </patternFill>
      </fill>
    </dxf>
    <dxf>
      <fill>
        <patternFill>
          <bgColor rgb="FF7FBA00"/>
        </patternFill>
      </fill>
    </dxf>
    <dxf>
      <font>
        <color theme="0"/>
      </font>
      <fill>
        <patternFill>
          <bgColor rgb="FFF25022"/>
        </patternFill>
      </fill>
    </dxf>
    <dxf>
      <font>
        <color theme="0"/>
      </font>
      <fill>
        <patternFill>
          <bgColor rgb="FF00A4EF"/>
        </patternFill>
      </fill>
    </dxf>
    <dxf>
      <fill>
        <patternFill>
          <bgColor rgb="FF7FBA00"/>
        </patternFill>
      </fill>
    </dxf>
    <dxf>
      <font>
        <color theme="0"/>
      </font>
      <fill>
        <patternFill>
          <bgColor rgb="FFF25022"/>
        </patternFill>
      </fill>
    </dxf>
    <dxf>
      <font>
        <color theme="0"/>
      </font>
      <fill>
        <patternFill>
          <bgColor rgb="FF00A4EF"/>
        </patternFill>
      </fill>
    </dxf>
    <dxf>
      <font>
        <color theme="0"/>
      </font>
      <fill>
        <patternFill>
          <bgColor rgb="FF00A4EF"/>
        </patternFill>
      </fill>
    </dxf>
    <dxf>
      <font>
        <color theme="0"/>
      </font>
      <fill>
        <patternFill>
          <bgColor rgb="FFF25022"/>
        </patternFill>
      </fill>
    </dxf>
    <dxf>
      <fill>
        <patternFill>
          <bgColor rgb="FF7FBA00"/>
        </patternFill>
      </fill>
    </dxf>
    <dxf>
      <alignment horizontal="general" vertical="bottom" textRotation="0" wrapText="1" indent="0" justifyLastLine="0" shrinkToFit="0" readingOrder="0"/>
      <border diagonalUp="0" diagonalDown="0">
        <left style="thin">
          <color rgb="FFF25022"/>
        </left>
        <right style="thin">
          <color rgb="FFF25022"/>
        </right>
        <vertical/>
      </border>
    </dxf>
    <dxf>
      <font>
        <b val="0"/>
        <i val="0"/>
        <strike val="0"/>
        <condense val="0"/>
        <extend val="0"/>
        <outline val="0"/>
        <shadow val="0"/>
        <u val="none"/>
        <vertAlign val="baseline"/>
        <sz val="11"/>
        <color auto="1"/>
        <name val="Calibri"/>
        <family val="2"/>
        <scheme val="minor"/>
      </font>
      <numFmt numFmtId="174" formatCode="&quot;$&quot;#,##0"/>
      <border diagonalUp="0" diagonalDown="0">
        <left/>
        <right style="mediumDashed">
          <color rgb="FF00A4EF"/>
        </right>
        <vertical/>
      </border>
    </dxf>
    <dxf>
      <font>
        <b val="0"/>
        <i val="0"/>
        <strike val="0"/>
        <condense val="0"/>
        <extend val="0"/>
        <outline val="0"/>
        <shadow val="0"/>
        <u val="none"/>
        <vertAlign val="baseline"/>
        <sz val="11"/>
        <color auto="1"/>
        <name val="Calibri"/>
        <family val="2"/>
        <scheme val="minor"/>
      </font>
      <numFmt numFmtId="174" formatCode="&quot;$&quot;#,##0"/>
      <border diagonalUp="0" diagonalDown="0">
        <left style="mediumDashed">
          <color rgb="FF00A4EF"/>
        </left>
        <right style="mediumDashed">
          <color rgb="FF00A4EF"/>
        </right>
        <vertical/>
      </border>
    </dxf>
    <dxf>
      <font>
        <strike val="0"/>
        <outline val="0"/>
        <shadow val="0"/>
        <u val="none"/>
        <vertAlign val="baseline"/>
        <sz val="11"/>
        <color auto="1"/>
        <name val="Calibri"/>
        <family val="2"/>
        <scheme val="minor"/>
      </font>
    </dxf>
    <dxf>
      <border outline="0">
        <top style="thin">
          <color rgb="FF000000"/>
        </top>
      </border>
    </dxf>
    <dxf>
      <border outline="0">
        <left style="thin">
          <color rgb="FF000000"/>
        </left>
        <right style="thin">
          <color rgb="FF000000"/>
        </right>
        <top style="thin">
          <color rgb="FF000000"/>
        </top>
        <bottom style="thin">
          <color rgb="FF000000"/>
        </bottom>
      </border>
    </dxf>
    <dxf>
      <font>
        <strike val="0"/>
        <outline val="0"/>
        <shadow val="0"/>
        <u val="no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outline="0">
        <left style="thin">
          <color indexed="64"/>
        </left>
        <right style="thin">
          <color indexed="64"/>
        </right>
        <top/>
        <bottom/>
      </border>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ill>
        <patternFill>
          <bgColor rgb="FF00A4EF"/>
        </patternFill>
      </fill>
    </dxf>
    <dxf>
      <font>
        <color theme="0"/>
      </font>
      <fill>
        <patternFill>
          <bgColor rgb="FF747474"/>
        </patternFill>
      </fill>
    </dxf>
    <dxf>
      <fill>
        <patternFill>
          <bgColor rgb="FFFFB900"/>
        </patternFill>
      </fill>
    </dxf>
    <dxf>
      <fill>
        <patternFill>
          <bgColor rgb="FF7FBA00"/>
        </patternFill>
      </fill>
    </dxf>
    <dxf>
      <font>
        <color theme="0"/>
      </font>
      <fill>
        <patternFill>
          <bgColor rgb="FF747474"/>
        </patternFill>
      </fill>
    </dxf>
    <dxf>
      <fill>
        <patternFill>
          <bgColor rgb="FF7FBA00"/>
        </patternFill>
      </fill>
    </dxf>
    <dxf>
      <fill>
        <patternFill>
          <bgColor rgb="FF00A4EF"/>
        </patternFill>
      </fill>
    </dxf>
    <dxf>
      <fill>
        <patternFill>
          <bgColor rgb="FFFFB900"/>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b val="0"/>
        <i val="0"/>
        <strike val="0"/>
        <condense val="0"/>
        <extend val="0"/>
        <outline val="0"/>
        <shadow val="0"/>
        <u val="none"/>
        <vertAlign val="baseline"/>
        <sz val="11"/>
        <color auto="1"/>
        <name val="Calibri"/>
        <family val="2"/>
        <scheme val="minor"/>
      </font>
      <numFmt numFmtId="176" formatCode="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6" formatCode="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7" formatCode="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7" formatCode="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7" formatCode="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7" formatCode="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7" formatCode="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7" formatCode="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solid">
          <fgColor indexed="64"/>
          <bgColor theme="0" tint="-4.9989318521683403E-2"/>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border outline="0">
        <bottom style="thin">
          <color rgb="FF000000"/>
        </bottom>
      </border>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solid">
          <fgColor indexed="64"/>
          <bgColor theme="0" tint="-4.9989318521683403E-2"/>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border outline="0">
        <bottom style="thin">
          <color rgb="FF000000"/>
        </bottom>
      </border>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solid">
          <fgColor indexed="64"/>
          <bgColor theme="0" tint="-4.9989318521683403E-2"/>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border outline="0">
        <bottom style="thin">
          <color rgb="FF000000"/>
        </bottom>
      </border>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solid">
          <fgColor indexed="64"/>
          <bgColor theme="0" tint="-4.9989318521683403E-2"/>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border outline="0">
        <bottom style="thin">
          <color rgb="FF000000"/>
        </bottom>
      </border>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solid">
          <fgColor indexed="64"/>
          <bgColor theme="0" tint="-4.9989318521683403E-2"/>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border outline="0">
        <bottom style="thin">
          <color rgb="FF000000"/>
        </bottom>
      </border>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solid">
          <fgColor indexed="64"/>
          <bgColor theme="0" tint="-4.9989318521683403E-2"/>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border outline="0">
        <bottom style="thin">
          <color rgb="FF000000"/>
        </bottom>
      </border>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solid">
          <fgColor indexed="64"/>
          <bgColor theme="0" tint="-4.9989318521683403E-2"/>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border outline="0">
        <bottom style="thin">
          <color rgb="FF000000"/>
        </bottom>
      </border>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solid">
          <fgColor indexed="64"/>
          <bgColor theme="0" tint="-4.9989318521683403E-2"/>
        </patternFill>
      </fill>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3" formatCode="0%"/>
      <fill>
        <patternFill patternType="solid">
          <fgColor indexed="64"/>
          <bgColor theme="0" tint="-4.9989318521683403E-2"/>
        </patternFill>
      </fill>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71" formatCode="0.000"/>
      <alignment horizontal="center"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6" formatCode="0.000%"/>
      <alignment horizontal="center" vertical="center" textRotation="0" wrapText="0" indent="0" justifyLastLine="0" shrinkToFit="0" readingOrder="0"/>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border outline="0">
        <bottom style="thin">
          <color rgb="FF000000"/>
        </bottom>
      </border>
    </dxf>
    <dxf>
      <font>
        <strike val="0"/>
        <outline val="0"/>
        <shadow val="0"/>
        <u val="none"/>
        <vertAlign val="baseline"/>
        <sz val="11"/>
        <color auto="1"/>
        <name val="Calibri"/>
        <family val="2"/>
        <scheme val="minor"/>
      </font>
    </dxf>
    <dxf>
      <font>
        <strike val="0"/>
        <outline val="0"/>
        <shadow val="0"/>
        <u val="none"/>
        <vertAlign val="baseline"/>
        <sz val="11"/>
        <color auto="1"/>
        <name val="Calibri"/>
        <family val="2"/>
        <scheme val="minor"/>
      </font>
      <alignment horizontal="general" vertical="bottom" textRotation="0" wrapText="1" indent="0" justifyLastLine="0" shrinkToFit="0" readingOrder="0"/>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alignment horizontal="general" vertical="bottom" textRotation="0" wrapText="1" indent="0" justifyLastLine="0" shrinkToFit="0" readingOrder="0"/>
      <border diagonalUp="0" diagonalDown="0">
        <left style="thin">
          <color rgb="FFF25022"/>
        </left>
        <right style="thin">
          <color rgb="FFF25022"/>
        </right>
        <vertical/>
      </border>
    </dxf>
    <dxf>
      <font>
        <strike val="0"/>
        <outline val="0"/>
        <shadow val="0"/>
        <u val="none"/>
        <vertAlign val="baseline"/>
        <sz val="11"/>
        <color auto="1"/>
        <name val="Calibri"/>
        <family val="2"/>
        <scheme val="minor"/>
      </font>
    </dxf>
    <dxf>
      <border outline="0">
        <top style="thin">
          <color rgb="FF000000"/>
        </top>
      </border>
    </dxf>
    <dxf>
      <border outline="0">
        <left style="thin">
          <color rgb="FF000000"/>
        </left>
        <right style="thin">
          <color rgb="FF000000"/>
        </right>
        <top style="thin">
          <color rgb="FF000000"/>
        </top>
        <bottom style="thin">
          <color rgb="FF000000"/>
        </bottom>
      </border>
    </dxf>
    <dxf>
      <font>
        <strike val="0"/>
        <outline val="0"/>
        <shadow val="0"/>
        <u val="no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outline="0">
        <left style="thin">
          <color indexed="64"/>
        </left>
        <right style="thin">
          <color indexed="64"/>
        </right>
        <top/>
        <bottom/>
      </border>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ill>
        <patternFill>
          <bgColor rgb="FF00A4EF"/>
        </patternFill>
      </fill>
    </dxf>
    <dxf>
      <font>
        <color theme="0"/>
      </font>
      <fill>
        <patternFill>
          <bgColor rgb="FF747474"/>
        </patternFill>
      </fill>
    </dxf>
    <dxf>
      <fill>
        <patternFill>
          <bgColor rgb="FFFFB900"/>
        </patternFill>
      </fill>
    </dxf>
    <dxf>
      <fill>
        <patternFill>
          <bgColor rgb="FF7FBA00"/>
        </patternFill>
      </fill>
    </dxf>
    <dxf>
      <font>
        <color theme="0"/>
      </font>
      <fill>
        <patternFill>
          <bgColor rgb="FF747474"/>
        </patternFill>
      </fill>
    </dxf>
    <dxf>
      <fill>
        <patternFill>
          <bgColor rgb="FF7FBA00"/>
        </patternFill>
      </fill>
    </dxf>
    <dxf>
      <fill>
        <patternFill>
          <bgColor rgb="FF00A4EF"/>
        </patternFill>
      </fill>
    </dxf>
    <dxf>
      <fill>
        <patternFill>
          <bgColor rgb="FFFFB900"/>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ill>
        <patternFill patternType="none">
          <fgColor indexed="64"/>
          <bgColor auto="1"/>
        </patternFill>
      </fill>
      <alignment textRotation="0" wrapText="1" indent="0" justifyLastLine="0" shrinkToFit="0" readingOrder="0"/>
    </dxf>
    <dxf>
      <fill>
        <patternFill patternType="none">
          <fgColor indexed="64"/>
          <bgColor auto="1"/>
        </patternFill>
      </fill>
      <alignment textRotation="0" wrapText="1" indent="0" justifyLastLine="0" shrinkToFit="0" readingOrder="0"/>
    </dxf>
    <dxf>
      <fill>
        <patternFill patternType="none">
          <fgColor indexed="64"/>
          <bgColor auto="1"/>
        </patternFill>
      </fill>
      <alignment textRotation="0" wrapText="1" indent="0" justifyLastLine="0" shrinkToFit="0" readingOrder="0"/>
    </dxf>
    <dxf>
      <alignment textRotation="0" wrapText="1" indent="0" justifyLastLine="0" shrinkToFit="0" readingOrder="0"/>
    </dxf>
    <dxf>
      <alignment textRotation="0" wrapText="1" indent="0" justifyLastLine="0" shrinkToFit="0" readingOrder="0"/>
    </dxf>
    <dxf>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b val="0"/>
        <i val="0"/>
        <strike val="0"/>
        <condense val="0"/>
        <extend val="0"/>
        <outline val="0"/>
        <shadow val="0"/>
        <u val="none"/>
        <vertAlign val="baseline"/>
        <sz val="11"/>
        <color theme="1"/>
        <name val="Calibri"/>
        <family val="2"/>
        <scheme val="minor"/>
      </font>
      <alignment textRotation="0" wrapText="1" indent="0" justifyLastLine="0" shrinkToFit="0" readingOrder="0"/>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color auto="1"/>
      </font>
      <fill>
        <patternFill patternType="none">
          <fgColor indexed="64"/>
          <bgColor indexed="65"/>
        </patternFill>
      </fill>
      <alignment horizontal="general" vertical="bottom" textRotation="0" wrapText="1" indent="0" justifyLastLine="0" shrinkToFit="0" readingOrder="0"/>
      <border diagonalUp="0" diagonalDown="0">
        <left style="thin">
          <color indexed="64"/>
        </left>
        <right/>
        <top/>
        <bottom/>
        <vertical/>
        <horizontal/>
      </border>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border diagonalUp="0" diagonalDown="0">
        <left style="thin">
          <color rgb="FF000000"/>
        </left>
        <right style="thin">
          <color rgb="FF000000"/>
        </right>
        <top style="thin">
          <color rgb="FF000000"/>
        </top>
        <bottom style="thin">
          <color rgb="FF000000"/>
        </bottom>
      </border>
    </dxf>
    <dxf>
      <alignment horizontal="general" vertical="bottom" textRotation="0" wrapText="1" indent="0" justifyLastLine="0" shrinkToFit="0" readingOrder="0"/>
    </dxf>
    <dxf>
      <fill>
        <patternFill patternType="none">
          <fgColor indexed="64"/>
          <bgColor auto="1"/>
        </patternFill>
      </fill>
      <alignment horizontal="general" vertical="bottom" textRotation="0" wrapText="1" indent="0" justifyLastLine="0" shrinkToFit="0" readingOrder="0"/>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1"/>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00A4EF"/>
        </patternFill>
      </fill>
    </dxf>
    <dxf>
      <font>
        <color theme="0"/>
      </font>
      <fill>
        <patternFill>
          <bgColor rgb="FF737373"/>
        </patternFill>
      </fill>
    </dxf>
    <dxf>
      <font>
        <b val="0"/>
        <i val="0"/>
        <strike val="0"/>
        <condense val="0"/>
        <extend val="0"/>
        <outline val="0"/>
        <shadow val="0"/>
        <u val="none"/>
        <vertAlign val="baseline"/>
        <sz val="11"/>
        <color rgb="FF161616"/>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fill>
        <patternFill patternType="none">
          <fgColor indexed="64"/>
          <bgColor indexed="65"/>
        </patternFill>
      </fill>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numFmt numFmtId="169" formatCode="[$-F800]dddd\,\ mmmm\ dd\,\ yyyy"/>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general" vertical="bottom" textRotation="0" wrapText="0" indent="0" justifyLastLine="0" shrinkToFit="0" readingOrder="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general"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 formatCode="0"/>
    </dxf>
    <dxf>
      <font>
        <b val="0"/>
        <i val="0"/>
        <strike val="0"/>
        <condense val="0"/>
        <extend val="0"/>
        <outline val="0"/>
        <shadow val="0"/>
        <u val="none"/>
        <vertAlign val="baseline"/>
        <sz val="11"/>
        <color auto="1"/>
        <name val="Calibri"/>
        <family val="2"/>
        <scheme val="minor"/>
      </font>
      <numFmt numFmtId="1" formatCode="0"/>
    </dxf>
    <dxf>
      <font>
        <strike val="0"/>
        <outline val="0"/>
        <shadow val="0"/>
        <u val="none"/>
        <vertAlign val="baseline"/>
        <sz val="11"/>
        <color auto="1"/>
        <name val="Calibri"/>
        <family val="2"/>
        <scheme val="minor"/>
      </font>
      <numFmt numFmtId="1" formatCode="0"/>
      <fill>
        <patternFill patternType="none">
          <fgColor indexed="64"/>
          <bgColor auto="1"/>
        </patternFill>
      </fill>
      <alignment horizontal="general" vertical="bottom" textRotation="0" wrapText="0" indent="0" justifyLastLine="0" shrinkToFit="0" readingOrder="0"/>
    </dxf>
    <dxf>
      <font>
        <strike val="0"/>
        <outline val="0"/>
        <shadow val="0"/>
        <u val="none"/>
        <vertAlign val="baseline"/>
        <sz val="11"/>
        <color auto="1"/>
        <name val="Calibri"/>
        <family val="2"/>
        <scheme val="minor"/>
      </font>
      <numFmt numFmtId="169" formatCode="[$-F800]dddd\,\ mmmm\ dd\,\ yyyy"/>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1"/>
        <color auto="1"/>
        <name val="Calibri"/>
        <family val="2"/>
        <scheme val="minor"/>
      </font>
      <numFmt numFmtId="169" formatCode="[$-F800]dddd\,\ mmmm\ dd\,\ yyyy"/>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numFmt numFmtId="169" formatCode="[$-F800]dddd\,\ mmmm\ dd\,\ yyyy"/>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rgb="FF161616"/>
        <name val="Calibri"/>
        <family val="2"/>
        <scheme val="none"/>
      </font>
      <alignment horizontal="general" vertical="bottom" textRotation="0" wrapText="1" indent="0" justifyLastLine="0" shrinkToFit="0" readingOrder="0"/>
    </dxf>
    <dxf>
      <font>
        <b/>
        <i val="0"/>
        <strike val="0"/>
        <condense val="0"/>
        <extend val="0"/>
        <outline val="0"/>
        <shadow val="0"/>
        <u val="none"/>
        <vertAlign val="baseline"/>
        <sz val="11"/>
        <color rgb="FF161616"/>
        <name val="Calibri"/>
        <family val="2"/>
        <scheme val="minor"/>
      </font>
      <alignment horizontal="general" vertical="bottom" textRotation="0" wrapText="1" indent="0" justifyLastLine="0" shrinkToFit="0" readingOrder="0"/>
    </dxf>
    <dxf>
      <fill>
        <patternFill>
          <bgColor rgb="FF7FBA00"/>
        </patternFill>
      </fill>
    </dxf>
    <dxf>
      <font>
        <color theme="0"/>
      </font>
      <fill>
        <patternFill>
          <bgColor rgb="FFF25022"/>
        </patternFill>
      </fill>
    </dxf>
    <dxf>
      <font>
        <color theme="0"/>
      </font>
      <fill>
        <patternFill>
          <bgColor rgb="FFF25022"/>
        </patternFill>
      </fill>
    </dxf>
    <dxf>
      <fill>
        <patternFill>
          <bgColor rgb="FF7FBA00"/>
        </patternFill>
      </fill>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color auto="1"/>
      </font>
      <fill>
        <patternFill patternType="none">
          <fgColor indexed="64"/>
          <bgColor indexed="65"/>
        </patternFill>
      </fill>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font>
        <color auto="1"/>
      </font>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border diagonalUp="0" diagonalDown="0">
        <left style="thin">
          <color indexed="64"/>
        </left>
        <right style="thin">
          <color indexed="64"/>
        </right>
        <top style="thin">
          <color indexed="64"/>
        </top>
        <bottom style="thin">
          <color indexed="64"/>
        </bottom>
      </border>
    </dxf>
    <dxf>
      <alignment horizontal="general" vertical="bottom" textRotation="0" wrapText="1" indent="0" justifyLastLine="0" shrinkToFit="0" readingOrder="0"/>
    </dxf>
    <dxf>
      <fill>
        <patternFill patternType="none">
          <fgColor indexed="64"/>
          <bgColor auto="1"/>
        </patternFill>
      </fill>
      <alignment horizontal="general" vertical="bottom" textRotation="0" wrapText="1" indent="0" justifyLastLine="0" shrinkToFit="0" readingOrder="0"/>
    </dxf>
    <dxf>
      <font>
        <color theme="0"/>
      </font>
      <fill>
        <patternFill>
          <bgColor rgb="FF00A4EF"/>
        </patternFill>
      </fill>
    </dxf>
    <dxf>
      <font>
        <color theme="0"/>
      </font>
      <fill>
        <patternFill>
          <bgColor rgb="FF737373"/>
        </patternFill>
      </fill>
    </dxf>
    <dxf>
      <font>
        <b val="0"/>
        <strike val="0"/>
        <outline val="0"/>
        <shadow val="0"/>
        <u val="none"/>
        <vertAlign val="baseline"/>
        <color auto="1"/>
        <name val="Calibri"/>
        <family val="2"/>
        <scheme val="minor"/>
      </font>
      <fill>
        <patternFill patternType="none">
          <fgColor indexed="64"/>
          <bgColor auto="1"/>
        </patternFill>
      </fill>
    </dxf>
    <dxf>
      <font>
        <b val="0"/>
        <strike val="0"/>
        <outline val="0"/>
        <shadow val="0"/>
        <u val="none"/>
        <vertAlign val="baseline"/>
        <color auto="1"/>
        <name val="Calibri"/>
        <family val="2"/>
        <scheme val="minor"/>
      </font>
      <fill>
        <patternFill patternType="none">
          <fgColor indexed="64"/>
          <bgColor auto="1"/>
        </patternFill>
      </fill>
    </dxf>
    <dxf>
      <font>
        <b val="0"/>
        <strike val="0"/>
        <outline val="0"/>
        <shadow val="0"/>
        <u val="none"/>
        <vertAlign val="baseline"/>
        <color auto="1"/>
        <name val="Calibri"/>
        <family val="2"/>
        <scheme val="minor"/>
      </font>
      <fill>
        <patternFill patternType="none">
          <fgColor indexed="64"/>
          <bgColor auto="1"/>
        </patternFill>
      </fill>
    </dxf>
    <dxf>
      <font>
        <b val="0"/>
        <strike val="0"/>
        <outline val="0"/>
        <shadow val="0"/>
        <u val="none"/>
        <vertAlign val="baseline"/>
        <color auto="1"/>
        <name val="Calibri"/>
        <family val="2"/>
        <scheme val="minor"/>
      </font>
      <fill>
        <patternFill patternType="none">
          <fgColor indexed="64"/>
          <bgColor auto="1"/>
        </patternFill>
      </fill>
    </dxf>
    <dxf>
      <font>
        <b val="0"/>
        <strike val="0"/>
        <outline val="0"/>
        <shadow val="0"/>
        <u val="none"/>
        <vertAlign val="baseline"/>
        <color auto="1"/>
        <name val="Calibri"/>
        <family val="2"/>
        <scheme val="minor"/>
      </font>
      <fill>
        <patternFill patternType="none">
          <fgColor indexed="64"/>
          <bgColor auto="1"/>
        </patternFill>
      </fill>
    </dxf>
    <dxf>
      <font>
        <b val="0"/>
        <i val="0"/>
        <strike val="0"/>
        <condense val="0"/>
        <extend val="0"/>
        <outline val="0"/>
        <shadow val="0"/>
        <u val="none"/>
        <vertAlign val="baseline"/>
        <sz val="14"/>
        <color auto="1"/>
        <name val="Calibri"/>
        <family val="2"/>
        <scheme val="minor"/>
      </font>
      <fill>
        <patternFill patternType="none">
          <fgColor indexed="64"/>
          <bgColor auto="1"/>
        </patternFill>
      </fill>
      <alignment horizontal="center" vertical="center" textRotation="0" wrapText="1" indent="0" justifyLastLine="0" shrinkToFit="0" readingOrder="0"/>
    </dxf>
    <dxf>
      <font>
        <b val="0"/>
        <strike val="0"/>
        <outline val="0"/>
        <shadow val="0"/>
        <u val="none"/>
        <vertAlign val="baseline"/>
        <color auto="1"/>
        <name val="Calibri"/>
        <family val="2"/>
        <scheme val="minor"/>
      </font>
      <fill>
        <patternFill patternType="none">
          <fgColor indexed="64"/>
          <bgColor auto="1"/>
        </patternFill>
      </fill>
    </dxf>
    <dxf>
      <font>
        <b val="0"/>
        <strike val="0"/>
        <outline val="0"/>
        <shadow val="0"/>
        <u val="none"/>
        <vertAlign val="baseline"/>
        <color auto="1"/>
        <name val="Calibri"/>
        <family val="2"/>
        <scheme val="minor"/>
      </font>
      <fill>
        <patternFill patternType="none">
          <fgColor indexed="64"/>
          <bgColor auto="1"/>
        </patternFill>
      </fill>
    </dxf>
    <dxf>
      <font>
        <b val="0"/>
        <strike val="0"/>
        <outline val="0"/>
        <shadow val="0"/>
        <u val="none"/>
        <vertAlign val="baseline"/>
        <color auto="1"/>
        <name val="Calibri"/>
        <family val="2"/>
        <scheme val="minor"/>
      </font>
      <fill>
        <patternFill patternType="none">
          <fgColor indexed="64"/>
          <bgColor auto="1"/>
        </patternFill>
      </fill>
    </dxf>
    <dxf>
      <font>
        <b val="0"/>
        <strike val="0"/>
        <outline val="0"/>
        <shadow val="0"/>
        <u val="none"/>
        <vertAlign val="baseline"/>
        <color auto="1"/>
        <name val="Calibri"/>
        <family val="2"/>
        <scheme val="minor"/>
      </font>
      <fill>
        <patternFill patternType="none">
          <fgColor indexed="64"/>
          <bgColor auto="1"/>
        </patternFill>
      </fill>
    </dxf>
    <dxf>
      <font>
        <b val="0"/>
        <strike val="0"/>
        <outline val="0"/>
        <shadow val="0"/>
        <u val="none"/>
        <vertAlign val="baseline"/>
        <color auto="1"/>
        <name val="Calibri"/>
        <family val="2"/>
        <scheme val="minor"/>
      </font>
      <fill>
        <patternFill patternType="none">
          <fgColor indexed="64"/>
          <bgColor auto="1"/>
        </patternFill>
      </fill>
    </dxf>
    <dxf>
      <font>
        <b val="0"/>
        <strike val="0"/>
        <outline val="0"/>
        <shadow val="0"/>
        <u val="none"/>
        <vertAlign val="baseline"/>
        <color auto="1"/>
        <name val="Calibri"/>
        <family val="2"/>
        <scheme val="minor"/>
      </font>
      <fill>
        <patternFill patternType="none">
          <fgColor indexed="64"/>
          <bgColor auto="1"/>
        </patternFill>
      </fill>
    </dxf>
    <dxf>
      <font>
        <strike val="0"/>
        <outline val="0"/>
        <shadow val="0"/>
        <u val="none"/>
        <vertAlign val="baseline"/>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color auto="1"/>
        <name val="Calibri"/>
        <family val="2"/>
        <scheme val="minor"/>
      </font>
      <fill>
        <patternFill patternType="none">
          <fgColor indexed="64"/>
          <bgColor auto="1"/>
        </patternFill>
      </fill>
    </dxf>
    <dxf>
      <font>
        <strike val="0"/>
        <outline val="0"/>
        <shadow val="0"/>
        <u val="none"/>
        <vertAlign val="baseline"/>
        <color auto="1"/>
        <name val="Calibri"/>
        <family val="2"/>
        <scheme val="minor"/>
      </font>
      <fill>
        <patternFill patternType="none">
          <fgColor indexed="64"/>
          <bgColor auto="1"/>
        </patternFill>
      </fill>
    </dxf>
    <dxf>
      <font>
        <strike val="0"/>
        <outline val="0"/>
        <shadow val="0"/>
        <u val="none"/>
        <vertAlign val="baseline"/>
        <sz val="11"/>
        <color auto="1"/>
        <name val="Calibri"/>
        <family val="2"/>
        <scheme val="minor"/>
      </font>
      <fill>
        <patternFill patternType="none">
          <fgColor indexed="64"/>
          <bgColor auto="1"/>
        </patternFill>
      </fill>
    </dxf>
    <dxf>
      <font>
        <color rgb="FF00A4EF"/>
      </font>
    </dxf>
    <dxf>
      <font>
        <color rgb="FFF25022"/>
      </font>
    </dxf>
    <dxf>
      <font>
        <color rgb="FF7FBA00"/>
      </font>
    </dxf>
    <dxf>
      <font>
        <color rgb="FFFFB900"/>
      </font>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right style="thin">
          <color indexed="64"/>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style="thin">
          <color indexed="64"/>
        </left>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right style="thin">
          <color indexed="64"/>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style="thin">
          <color indexed="64"/>
        </left>
        <right/>
        <vertic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right style="thin">
          <color indexed="64"/>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style="thin">
          <color indexed="64"/>
        </left>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right style="thin">
          <color indexed="64"/>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style="thin">
          <color indexed="64"/>
        </left>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right style="thin">
          <color indexed="64"/>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textRotation="0" wrapText="1" indent="0" justifyLastLine="0" shrinkToFit="0" readingOrder="0"/>
      <border diagonalUp="0" diagonalDown="0">
        <left style="thin">
          <color indexed="64"/>
        </left>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left/>
        <right style="thin">
          <color indexed="64"/>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30" formatCode="@"/>
      <fill>
        <patternFill patternType="none">
          <fgColor indexed="64"/>
          <bgColor auto="1"/>
        </patternFill>
      </fill>
      <alignment textRotation="0" wrapText="1" indent="0" justifyLastLine="0" shrinkToFit="0" readingOrder="0"/>
      <border diagonalUp="0" diagonalDown="0">
        <left style="thin">
          <color indexed="64"/>
        </left>
        <right/>
        <top/>
        <bottom/>
        <vertical/>
        <horizontal/>
      </border>
    </dxf>
    <dxf>
      <font>
        <b val="0"/>
        <i val="0"/>
        <strike val="0"/>
        <condense val="0"/>
        <extend val="0"/>
        <outline val="0"/>
        <shadow val="0"/>
        <u val="none"/>
        <vertAlign val="baseline"/>
        <sz val="11"/>
        <color auto="1"/>
        <name val="Calibri"/>
        <family val="2"/>
        <scheme val="minor"/>
      </font>
      <numFmt numFmtId="30" formatCode="@"/>
      <fill>
        <patternFill patternType="none">
          <fgColor indexed="64"/>
          <bgColor auto="1"/>
        </patternFill>
      </fill>
      <alignment horizontal="general" vertical="bottom" textRotation="0" wrapText="1" indent="0" justifyLastLine="0" shrinkToFit="0" readingOrder="0"/>
      <border diagonalUp="0" diagonalDown="0">
        <left/>
        <right style="thin">
          <color indexed="64"/>
        </right>
        <top/>
        <bottom/>
        <vertical/>
        <horizontal/>
      </border>
    </dxf>
    <dxf>
      <font>
        <strike val="0"/>
        <outline val="0"/>
        <shadow val="0"/>
        <u val="no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center" vertical="bottom" textRotation="0" wrapText="1" indent="0" justifyLastLine="0" shrinkToFit="0" readingOrder="0"/>
      <border diagonalUp="0" diagonalDown="0">
        <left style="thin">
          <color indexed="64"/>
        </left>
        <right/>
        <top/>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sz val="11"/>
        <color auto="1"/>
        <name val="Calibri"/>
        <family val="2"/>
        <scheme val="minor"/>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textRotation="0" wrapText="1" indent="0" justifyLastLine="0" shrinkToFit="0" readingOrder="0"/>
    </dxf>
    <dxf>
      <font>
        <strike val="0"/>
        <outline val="0"/>
        <shadow val="0"/>
        <u val="none"/>
        <sz val="11"/>
        <color auto="1"/>
        <name val="Calibri"/>
        <family val="2"/>
        <scheme val="minor"/>
      </font>
      <fill>
        <patternFill patternType="none">
          <fgColor indexed="64"/>
          <bgColor auto="1"/>
        </patternFill>
      </fill>
      <alignment textRotation="0" wrapText="1" indent="0" justifyLastLine="0" shrinkToFit="0" readingOrder="0"/>
    </dxf>
    <dxf>
      <font>
        <strike val="0"/>
        <outline val="0"/>
        <shadow val="0"/>
        <u val="none"/>
        <sz val="11"/>
        <color auto="1"/>
        <name val="Calibri"/>
        <family val="2"/>
        <scheme val="minor"/>
      </font>
      <fill>
        <patternFill patternType="none">
          <fgColor indexed="64"/>
          <bgColor auto="1"/>
        </patternFill>
      </fill>
      <alignment textRotation="0" wrapText="1" indent="0" justifyLastLine="0" shrinkToFit="0" readingOrder="0"/>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0"/>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00A4EF"/>
        </patternFill>
      </fill>
    </dxf>
    <dxf>
      <font>
        <color theme="0"/>
      </font>
      <fill>
        <patternFill>
          <bgColor rgb="FF737373"/>
        </patternFill>
      </fill>
    </dxf>
    <dxf>
      <font>
        <color theme="0"/>
      </font>
      <fill>
        <patternFill>
          <bgColor rgb="FF00A4EF"/>
        </patternFill>
      </fill>
    </dxf>
    <dxf>
      <font>
        <color theme="0"/>
      </font>
      <fill>
        <patternFill>
          <bgColor rgb="FF737373"/>
        </patternFill>
      </fill>
    </dxf>
    <dxf>
      <font>
        <strike val="0"/>
        <outline val="0"/>
        <shadow val="0"/>
        <u val="none"/>
        <sz val="11"/>
        <color auto="1"/>
        <name val="Calibri"/>
        <family val="2"/>
        <scheme val="minor"/>
      </font>
      <fill>
        <patternFill patternType="none">
          <bgColor auto="1"/>
        </patternFill>
      </fill>
      <alignment horizontal="center" vertical="bottom" textRotation="0" wrapText="1" indent="0" justifyLastLine="0" shrinkToFit="0" readingOrder="0"/>
    </dxf>
    <dxf>
      <font>
        <strike val="0"/>
        <outline val="0"/>
        <shadow val="0"/>
        <u val="none"/>
        <sz val="11"/>
        <color auto="1"/>
        <name val="Calibri"/>
        <family val="2"/>
        <scheme val="minor"/>
      </font>
      <fill>
        <patternFill patternType="none">
          <bgColor auto="1"/>
        </patternFill>
      </fill>
      <alignment horizontal="center" vertical="bottom" textRotation="0" wrapText="1" indent="0" justifyLastLine="0" shrinkToFit="0" readingOrder="0"/>
    </dxf>
    <dxf>
      <font>
        <strike val="0"/>
        <outline val="0"/>
        <shadow val="0"/>
        <u val="none"/>
        <sz val="11"/>
        <color auto="1"/>
        <name val="Calibri"/>
        <family val="2"/>
        <scheme val="minor"/>
      </font>
      <fill>
        <patternFill patternType="none">
          <bgColor auto="1"/>
        </patternFill>
      </fill>
      <alignment horizontal="center" vertical="bottom" textRotation="0" wrapText="1" indent="0" justifyLastLine="0" shrinkToFit="0" readingOrder="0"/>
    </dxf>
    <dxf>
      <font>
        <strike val="0"/>
        <outline val="0"/>
        <shadow val="0"/>
        <u val="none"/>
        <sz val="11"/>
        <color auto="1"/>
        <name val="Calibri"/>
        <family val="2"/>
        <scheme val="minor"/>
      </font>
      <fill>
        <patternFill patternType="none">
          <bgColor auto="1"/>
        </patternFill>
      </fill>
      <alignment horizontal="center" vertical="bottom" textRotation="0" wrapText="1" indent="0" justifyLastLine="0" shrinkToFit="0" readingOrder="0"/>
    </dxf>
    <dxf>
      <font>
        <strike val="0"/>
        <outline val="0"/>
        <shadow val="0"/>
        <u val="none"/>
        <sz val="11"/>
        <color auto="1"/>
        <name val="Calibri"/>
        <family val="2"/>
        <scheme val="minor"/>
      </font>
      <fill>
        <patternFill patternType="none">
          <bgColor auto="1"/>
        </patternFill>
      </fill>
      <alignment horizontal="center" vertical="bottom" textRotation="0" wrapText="1" indent="0" justifyLastLine="0" shrinkToFit="0" readingOrder="0"/>
    </dxf>
    <dxf>
      <font>
        <strike val="0"/>
        <outline val="0"/>
        <shadow val="0"/>
        <u val="none"/>
        <sz val="11"/>
        <color auto="1"/>
        <name val="Calibri"/>
        <family val="2"/>
        <scheme val="minor"/>
      </font>
      <fill>
        <patternFill patternType="none">
          <fgColor indexed="64"/>
          <bgColor auto="1"/>
        </patternFill>
      </fill>
      <alignment horizontal="center" vertical="bottom" textRotation="0" wrapText="1" indent="0" justifyLastLine="0" shrinkToFit="0" readingOrder="0"/>
    </dxf>
    <dxf>
      <font>
        <strike val="0"/>
        <outline val="0"/>
        <shadow val="0"/>
        <u val="none"/>
        <sz val="11"/>
        <color auto="1"/>
        <name val="Calibri"/>
        <family val="2"/>
        <scheme val="minor"/>
      </font>
      <numFmt numFmtId="30" formatCode="@"/>
      <fill>
        <patternFill patternType="none">
          <bgColor auto="1"/>
        </patternFill>
      </fill>
      <alignment vertical="bottom" textRotation="0" wrapText="1" indent="0" justifyLastLine="0" shrinkToFit="0" readingOrder="0"/>
    </dxf>
    <dxf>
      <font>
        <strike val="0"/>
        <outline val="0"/>
        <shadow val="0"/>
        <u val="none"/>
        <sz val="11"/>
        <color auto="1"/>
        <name val="Calibri"/>
        <family val="2"/>
        <scheme val="minor"/>
      </font>
      <fill>
        <patternFill patternType="none">
          <bgColor auto="1"/>
        </patternFill>
      </fill>
      <alignment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bgColor auto="1"/>
        </patternFill>
      </fill>
      <alignment vertical="bottom" textRotation="0" wrapText="1" indent="0" justifyLastLine="0" shrinkToFit="0" readingOrder="0"/>
    </dxf>
    <dxf>
      <font>
        <strike val="0"/>
        <outline val="0"/>
        <shadow val="0"/>
        <u val="none"/>
        <sz val="11"/>
        <color auto="1"/>
        <name val="Calibri"/>
        <family val="2"/>
        <scheme val="minor"/>
      </font>
      <fill>
        <patternFill patternType="none">
          <bgColor auto="1"/>
        </patternFill>
      </fill>
      <alignment vertical="bottom" textRotation="0" wrapText="1" indent="0" justifyLastLine="0" shrinkToFit="0" readingOrder="0"/>
    </dxf>
    <dxf>
      <font>
        <strike val="0"/>
        <outline val="0"/>
        <shadow val="0"/>
        <u val="none"/>
        <sz val="11"/>
        <color auto="1"/>
        <name val="Calibri"/>
        <family val="2"/>
        <scheme val="minor"/>
      </font>
      <fill>
        <patternFill patternType="none">
          <bgColor auto="1"/>
        </patternFill>
      </fill>
      <alignment vertical="bottom" textRotation="0" wrapText="1" indent="0" justifyLastLine="0" shrinkToFit="0" readingOrder="0"/>
    </dxf>
    <dxf>
      <font>
        <color theme="0"/>
      </font>
      <fill>
        <patternFill>
          <bgColor rgb="FF747474"/>
        </patternFill>
      </fill>
    </dxf>
    <dxf>
      <font>
        <color theme="0"/>
      </font>
      <fill>
        <patternFill>
          <bgColor rgb="FFF25022"/>
        </patternFill>
      </fill>
    </dxf>
    <dxf>
      <font>
        <color theme="1"/>
      </font>
      <fill>
        <patternFill>
          <bgColor rgb="FFFFB900"/>
        </patternFill>
      </fill>
    </dxf>
    <dxf>
      <font>
        <color theme="0"/>
      </font>
      <fill>
        <patternFill>
          <bgColor rgb="FF00A4EF"/>
        </patternFill>
      </fill>
    </dxf>
    <dxf>
      <font>
        <color theme="1"/>
      </font>
      <fill>
        <patternFill>
          <bgColor rgb="FF7FBA00"/>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color theme="0"/>
      </font>
      <fill>
        <patternFill>
          <bgColor rgb="FFF25022"/>
        </patternFill>
      </fill>
    </dxf>
    <dxf>
      <font>
        <strike val="0"/>
        <outline val="0"/>
        <shadow val="0"/>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vertAlign val="baseline"/>
        <sz val="11"/>
        <color auto="1"/>
        <name val="Calibri"/>
        <family val="2"/>
        <scheme val="minor"/>
      </font>
      <fill>
        <patternFill patternType="none">
          <fgColor indexed="64"/>
          <bgColor auto="1"/>
        </patternFill>
      </fill>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numFmt numFmtId="168" formatCode="[$-C09]dddd\,\ d\ mmmm\ yyyy;@"/>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general" vertical="bottom" textRotation="0" wrapText="1" indent="0" justifyLastLine="0" shrinkToFit="0" readingOrder="0"/>
      <border diagonalUp="0" diagonalDown="0" outline="0">
        <left/>
        <right/>
        <top/>
        <bottom/>
      </border>
    </dxf>
    <dxf>
      <font>
        <b/>
        <i val="0"/>
        <color theme="4" tint="-0.499984740745262"/>
      </font>
      <border diagonalUp="0" diagonalDown="0">
        <left style="thin">
          <color theme="4" tint="-0.499984740745262"/>
        </left>
        <right/>
        <top/>
        <bottom style="thin">
          <color theme="4" tint="-0.499984740745262"/>
        </bottom>
        <vertical/>
        <horizontal/>
      </border>
    </dxf>
    <dxf>
      <font>
        <b/>
        <i val="0"/>
        <color theme="4" tint="-0.499984740745262"/>
      </font>
      <border diagonalUp="0" diagonalDown="0">
        <left/>
        <right/>
        <top/>
        <bottom style="thin">
          <color theme="4" tint="-0.499984740745262"/>
        </bottom>
        <vertical/>
        <horizontal/>
      </border>
    </dxf>
    <dxf>
      <border>
        <left style="thin">
          <color theme="4" tint="-0.499984740745262"/>
        </left>
        <right style="thin">
          <color theme="4" tint="-0.499984740745262"/>
        </right>
        <top style="thin">
          <color theme="4" tint="-0.499984740745262"/>
        </top>
        <bottom style="thin">
          <color theme="4" tint="-0.499984740745262"/>
        </bottom>
        <horizontal style="thin">
          <color theme="5" tint="-0.499984740745262"/>
        </horizontal>
      </border>
    </dxf>
    <dxf>
      <font>
        <b/>
        <i val="0"/>
        <color rgb="FF185C6D"/>
      </font>
      <border diagonalUp="0" diagonalDown="0">
        <left style="thin">
          <color rgb="FF185C6D"/>
        </left>
        <right/>
        <top/>
        <bottom style="thin">
          <color rgb="FF185C6D"/>
        </bottom>
        <vertical/>
        <horizontal/>
      </border>
    </dxf>
    <dxf>
      <font>
        <b/>
        <i val="0"/>
        <color rgb="FF185C6D"/>
      </font>
      <border diagonalUp="0" diagonalDown="0">
        <left/>
        <right/>
        <top/>
        <bottom style="thin">
          <color rgb="FF185C6D"/>
        </bottom>
        <vertical/>
        <horizontal/>
      </border>
    </dxf>
    <dxf>
      <border>
        <left style="thin">
          <color rgb="FF185C6D"/>
        </left>
        <right style="thin">
          <color rgb="FF185C6D"/>
        </right>
        <top style="thin">
          <color rgb="FF185C6D"/>
        </top>
        <bottom style="thin">
          <color rgb="FF185C6D"/>
        </bottom>
        <horizontal style="thin">
          <color rgb="FFE60000"/>
        </horizontal>
      </border>
    </dxf>
  </dxfs>
  <tableStyles count="3" defaultTableStyle="TableStyleMedium2" defaultPivotStyle="PivotStyleLight16">
    <tableStyle name="Assignments" pivot="0" count="3" xr9:uid="{7776A6D3-26FE-4560-9880-47C089E8BE28}">
      <tableStyleElement type="wholeTable" dxfId="2044"/>
      <tableStyleElement type="headerRow" dxfId="2043"/>
      <tableStyleElement type="firstColumn" dxfId="2042"/>
    </tableStyle>
    <tableStyle name="Assignments 2" pivot="0" count="3" xr9:uid="{B63F14F5-7D0F-4FC7-8714-1EE67BBF525F}">
      <tableStyleElement type="wholeTable" dxfId="2041"/>
      <tableStyleElement type="headerRow" dxfId="2040"/>
      <tableStyleElement type="firstColumn" dxfId="2039"/>
    </tableStyle>
    <tableStyle name="BFG Slicer" pivot="0" table="0" count="3" xr9:uid="{93571270-F37B-4B58-8863-A81007F9278D}"/>
  </tableStyles>
  <colors>
    <mruColors>
      <color rgb="FFFFB900"/>
      <color rgb="FF00A4EF"/>
      <color rgb="FF7FBA00"/>
      <color rgb="FFF25022"/>
      <color rgb="FF737373"/>
      <color rgb="FFFFFFFF"/>
      <color rgb="FF747474"/>
      <color rgb="FF00FF00"/>
    </mruColors>
  </colors>
  <extLst>
    <ext xmlns:x14="http://schemas.microsoft.com/office/spreadsheetml/2009/9/main" uri="{46F421CA-312F-682f-3DD2-61675219B42D}">
      <x14:dxfs count="3">
        <dxf>
          <font>
            <color theme="0"/>
          </font>
          <fill>
            <patternFill>
              <bgColor rgb="FFF25022"/>
            </patternFill>
          </fill>
        </dxf>
        <dxf>
          <font>
            <color theme="0"/>
          </font>
          <fill>
            <patternFill>
              <bgColor rgb="FFF25022"/>
            </patternFill>
          </fill>
        </dxf>
        <dxf>
          <font>
            <color theme="0"/>
          </font>
          <fill>
            <patternFill>
              <bgColor rgb="FF747474"/>
            </patternFill>
          </fill>
        </dxf>
      </x14:dxfs>
    </ext>
    <ext xmlns:x14="http://schemas.microsoft.com/office/spreadsheetml/2009/9/main" uri="{EB79DEF2-80B8-43e5-95BD-54CBDDF9020C}">
      <x14:slicerStyles defaultSlicerStyle="SlicerStyleLight1">
        <x14:slicerStyle name="BFG Slicer">
          <x14:slicerStyleElements>
            <x14:slicerStyleElement type="unselectedItemWithData" dxfId="2"/>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microsoft.com/office/2007/relationships/slicerCache" Target="slicerCaches/slicerCache3.xml"/><Relationship Id="rId47" Type="http://schemas.openxmlformats.org/officeDocument/2006/relationships/theme" Target="theme/theme1.xml"/><Relationship Id="rId50"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microsoft.com/office/2007/relationships/slicerCache" Target="slicerCaches/slicerCache1.xml"/><Relationship Id="rId45" Type="http://schemas.microsoft.com/office/2007/relationships/slicerCache" Target="slicerCaches/slicerCache6.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microsoft.com/office/2007/relationships/slicerCache" Target="slicerCaches/slicerCache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microsoft.com/office/2007/relationships/slicerCache" Target="slicerCaches/slicerCache4.xml"/><Relationship Id="rId48"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microsoft.com/office/2007/relationships/slicerCache" Target="slicerCaches/slicerCache7.xml"/><Relationship Id="rId20" Type="http://schemas.openxmlformats.org/officeDocument/2006/relationships/worksheet" Target="worksheets/sheet20.xml"/><Relationship Id="rId41" Type="http://schemas.microsoft.com/office/2007/relationships/slicerCache" Target="slicerCaches/slicerCache2.xml"/><Relationship Id="rId1" Type="http://schemas.openxmlformats.org/officeDocument/2006/relationships/worksheet" Target="worksheets/sheet1.xml"/><Relationship Id="rId6" Type="http://schemas.openxmlformats.org/officeDocument/2006/relationships/worksheet" Target="worksheets/sheet6.xml"/></Relationships>
</file>

<file path=xl/diagrams/colors1.xml><?xml version="1.0" encoding="utf-8"?>
<dgm:colorsDef xmlns:dgm="http://schemas.openxmlformats.org/drawingml/2006/diagram" xmlns:a="http://schemas.openxmlformats.org/drawingml/2006/main" uniqueId="urn:microsoft.com/office/officeart/2005/8/colors/accent4_1">
  <dgm:title val=""/>
  <dgm:desc val=""/>
  <dgm:catLst>
    <dgm:cat type="accent4" pri="11100"/>
  </dgm:catLst>
  <dgm:styleLbl name="node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lig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l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vennNode1">
    <dgm:fillClrLst meth="repeat">
      <a:schemeClr val="lt1">
        <a:alpha val="50000"/>
      </a:schemeClr>
    </dgm:fillClrLst>
    <dgm:linClrLst meth="repeat">
      <a:schemeClr val="accent4">
        <a:shade val="80000"/>
      </a:schemeClr>
    </dgm:linClrLst>
    <dgm:effectClrLst/>
    <dgm:txLinClrLst/>
    <dgm:txFillClrLst/>
    <dgm:txEffectClrLst/>
  </dgm:styleLbl>
  <dgm:styleLbl name="node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f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align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b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f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b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sibTrans1D1">
    <dgm:fillClrLst meth="repeat">
      <a:schemeClr val="accent4"/>
    </dgm:fillClrLst>
    <dgm:linClrLst meth="repeat">
      <a:schemeClr val="accent4"/>
    </dgm:linClrLst>
    <dgm:effectClrLst/>
    <dgm:txLinClrLst/>
    <dgm:txFillClrLst meth="repeat">
      <a:schemeClr val="tx1"/>
    </dgm:txFillClrLst>
    <dgm:txEffectClrLst/>
  </dgm:styleLbl>
  <dgm:styleLbl name="callout">
    <dgm:fillClrLst meth="repeat">
      <a:schemeClr val="accent4"/>
    </dgm:fillClrLst>
    <dgm:linClrLst meth="repeat">
      <a:schemeClr val="accent4"/>
    </dgm:linClrLst>
    <dgm:effectClrLst/>
    <dgm:txLinClrLst/>
    <dgm:txFillClrLst meth="repeat">
      <a:schemeClr val="tx1"/>
    </dgm:txFillClrLst>
    <dgm:txEffectClrLst/>
  </dgm:styleLbl>
  <dgm:styleLbl name="asst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parChTrans2D1">
    <dgm:fillClrLst meth="repeat">
      <a:schemeClr val="accent4">
        <a:tint val="60000"/>
      </a:schemeClr>
    </dgm:fillClrLst>
    <dgm:linClrLst meth="repeat">
      <a:schemeClr val="accent4">
        <a:tint val="60000"/>
      </a:schemeClr>
    </dgm:linClrLst>
    <dgm:effectClrLst/>
    <dgm:txLinClrLst/>
    <dgm:txFillClrLst/>
    <dgm:txEffectClrLst/>
  </dgm:styleLbl>
  <dgm:styleLbl name="parChTrans2D2">
    <dgm:fillClrLst meth="repeat">
      <a:schemeClr val="accent4"/>
    </dgm:fillClrLst>
    <dgm:linClrLst meth="repeat">
      <a:schemeClr val="accent4"/>
    </dgm:linClrLst>
    <dgm:effectClrLst/>
    <dgm:txLinClrLst/>
    <dgm:txFillClrLst/>
    <dgm:txEffectClrLst/>
  </dgm:styleLbl>
  <dgm:styleLbl name="parChTrans2D3">
    <dgm:fillClrLst meth="repeat">
      <a:schemeClr val="accent4"/>
    </dgm:fillClrLst>
    <dgm:linClrLst meth="repeat">
      <a:schemeClr val="accent4"/>
    </dgm:linClrLst>
    <dgm:effectClrLst/>
    <dgm:txLinClrLst/>
    <dgm:txFillClrLst/>
    <dgm:txEffectClrLst/>
  </dgm:styleLbl>
  <dgm:styleLbl name="parChTrans2D4">
    <dgm:fillClrLst meth="repeat">
      <a:schemeClr val="accent4"/>
    </dgm:fillClrLst>
    <dgm:linClrLst meth="repeat">
      <a:schemeClr val="accent4"/>
    </dgm:linClrLst>
    <dgm:effectClrLst/>
    <dgm:txLinClrLst/>
    <dgm:txFillClrLst meth="repeat">
      <a:schemeClr val="lt1"/>
    </dgm:txFillClrLst>
    <dgm:txEffectClrLst/>
  </dgm:styleLbl>
  <dgm:styleLbl name="parChTrans1D1">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2">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3">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parChTrans1D4">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con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align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trAlignAcc1">
    <dgm:fillClrLst meth="repeat">
      <a:schemeClr val="accent4">
        <a:alpha val="40000"/>
        <a:tint val="40000"/>
      </a:schemeClr>
    </dgm:fillClrLst>
    <dgm:linClrLst meth="repeat">
      <a:schemeClr val="accent4"/>
    </dgm:linClrLst>
    <dgm:effectClrLst/>
    <dgm:txLinClrLst/>
    <dgm:txFillClrLst meth="repeat">
      <a:schemeClr val="dk1"/>
    </dgm:txFillClrLst>
    <dgm:txEffectClrLst/>
  </dgm:styleLbl>
  <dgm:styleLbl name="b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solidFgAcc1">
    <dgm:fillClrLst meth="repeat">
      <a:schemeClr val="lt1"/>
    </dgm:fillClrLst>
    <dgm:linClrLst meth="repeat">
      <a:schemeClr val="accent4"/>
    </dgm:linClrLst>
    <dgm:effectClrLst/>
    <dgm:txLinClrLst/>
    <dgm:txFillClrLst meth="repeat">
      <a:schemeClr val="dk1"/>
    </dgm:txFillClrLst>
    <dgm:txEffectClrLst/>
  </dgm:styleLbl>
  <dgm:styleLbl name="solidAlignAcc1">
    <dgm:fillClrLst meth="repeat">
      <a:schemeClr val="lt1"/>
    </dgm:fillClrLst>
    <dgm:linClrLst meth="repeat">
      <a:schemeClr val="accent4"/>
    </dgm:linClrLst>
    <dgm:effectClrLst/>
    <dgm:txLinClrLst/>
    <dgm:txFillClrLst meth="repeat">
      <a:schemeClr val="dk1"/>
    </dgm:txFillClrLst>
    <dgm:txEffectClrLst/>
  </dgm:styleLbl>
  <dgm:styleLbl name="solidBgAcc1">
    <dgm:fillClrLst meth="repeat">
      <a:schemeClr val="lt1"/>
    </dgm:fillClrLst>
    <dgm:linClrLst meth="repeat">
      <a:schemeClr val="accent4"/>
    </dgm:linClrLst>
    <dgm:effectClrLst/>
    <dgm:txLinClrLst/>
    <dgm:txFillClrLst meth="repeat">
      <a:schemeClr val="dk1"/>
    </dgm:txFillClrLst>
    <dgm:txEffectClrLst/>
  </dgm:styleLbl>
  <dgm:styleLbl name="f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align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b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fgAcc0">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2">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3">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4">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accent4"/>
    </dgm:linClrLst>
    <dgm:effectClrLst/>
    <dgm:txLinClrLst/>
    <dgm:txFillClrLst meth="repeat">
      <a:schemeClr val="dk1"/>
    </dgm:txFillClrLst>
    <dgm:txEffectClrLst/>
  </dgm:styleLbl>
  <dgm:styleLbl name="dkBgShp">
    <dgm:fillClrLst meth="repeat">
      <a:schemeClr val="accent4">
        <a:shade val="80000"/>
      </a:schemeClr>
    </dgm:fillClrLst>
    <dgm:linClrLst meth="repeat">
      <a:schemeClr val="accent4"/>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10.xml><?xml version="1.0" encoding="utf-8"?>
<dgm:colorsDef xmlns:dgm="http://schemas.openxmlformats.org/drawingml/2006/diagram" xmlns:a="http://schemas.openxmlformats.org/drawingml/2006/main" uniqueId="urn:microsoft.com/office/officeart/2005/8/colors/accent0_1">
  <dgm:title val=""/>
  <dgm:desc val=""/>
  <dgm:catLst>
    <dgm:cat type="mainScheme" pri="10100"/>
  </dgm:catLst>
  <dgm:styleLbl name="node0">
    <dgm:fillClrLst meth="repeat">
      <a:schemeClr val="lt1"/>
    </dgm:fillClrLst>
    <dgm:linClrLst meth="repeat">
      <a:schemeClr val="dk1">
        <a:shade val="80000"/>
      </a:schemeClr>
    </dgm:linClrLst>
    <dgm:effectClrLst/>
    <dgm:txLinClrLst/>
    <dgm:txFillClrLst meth="repeat">
      <a:schemeClr val="dk1"/>
    </dgm:txFillClrLst>
    <dgm:txEffectClrLst/>
  </dgm:styleLbl>
  <dgm:styleLbl name="node1">
    <dgm:fillClrLst meth="repeat">
      <a:schemeClr val="lt1"/>
    </dgm:fillClrLst>
    <dgm:linClrLst meth="repeat">
      <a:schemeClr val="dk1">
        <a:shade val="80000"/>
      </a:schemeClr>
    </dgm:linClrLst>
    <dgm:effectClrLst/>
    <dgm:txLinClrLst/>
    <dgm:txFillClrLst meth="repeat">
      <a:schemeClr val="dk1"/>
    </dgm:txFillClrLst>
    <dgm:txEffectClrLst/>
  </dgm:styleLbl>
  <dgm:styleLbl name="alignNode1">
    <dgm:fillClrLst meth="repeat">
      <a:schemeClr val="lt1"/>
    </dgm:fillClrLst>
    <dgm:linClrLst meth="repeat">
      <a:schemeClr val="dk1">
        <a:shade val="80000"/>
      </a:schemeClr>
    </dgm:linClrLst>
    <dgm:effectClrLst/>
    <dgm:txLinClrLst/>
    <dgm:txFillClrLst meth="repeat">
      <a:schemeClr val="dk1"/>
    </dgm:txFillClrLst>
    <dgm:txEffectClrLst/>
  </dgm:styleLbl>
  <dgm:styleLbl name="lnNode1">
    <dgm:fillClrLst meth="repeat">
      <a:schemeClr val="lt1"/>
    </dgm:fillClrLst>
    <dgm:linClrLst meth="repeat">
      <a:schemeClr val="dk1">
        <a:shade val="80000"/>
      </a:schemeClr>
    </dgm:linClrLst>
    <dgm:effectClrLst/>
    <dgm:txLinClrLst/>
    <dgm:txFillClrLst meth="repeat">
      <a:schemeClr val="dk1"/>
    </dgm:txFillClrLst>
    <dgm:txEffectClrLst/>
  </dgm:styleLbl>
  <dgm:styleLbl name="vennNode1">
    <dgm:fillClrLst meth="repeat">
      <a:schemeClr val="lt1">
        <a:alpha val="50000"/>
      </a:schemeClr>
    </dgm:fillClrLst>
    <dgm:linClrLst meth="repeat">
      <a:schemeClr val="dk1">
        <a:shade val="80000"/>
      </a:schemeClr>
    </dgm:linClrLst>
    <dgm:effectClrLst/>
    <dgm:txLinClrLst/>
    <dgm:txFillClrLst/>
    <dgm:txEffectClrLst/>
  </dgm:styleLbl>
  <dgm:styleLbl name="node2">
    <dgm:fillClrLst meth="repeat">
      <a:schemeClr val="lt1"/>
    </dgm:fillClrLst>
    <dgm:linClrLst meth="repeat">
      <a:schemeClr val="dk1">
        <a:shade val="80000"/>
      </a:schemeClr>
    </dgm:linClrLst>
    <dgm:effectClrLst/>
    <dgm:txLinClrLst/>
    <dgm:txFillClrLst meth="repeat">
      <a:schemeClr val="dk1"/>
    </dgm:txFillClrLst>
    <dgm:txEffectClrLst/>
  </dgm:styleLbl>
  <dgm:styleLbl name="node3">
    <dgm:fillClrLst meth="repeat">
      <a:schemeClr val="lt1"/>
    </dgm:fillClrLst>
    <dgm:linClrLst meth="repeat">
      <a:schemeClr val="dk1">
        <a:shade val="80000"/>
      </a:schemeClr>
    </dgm:linClrLst>
    <dgm:effectClrLst/>
    <dgm:txLinClrLst/>
    <dgm:txFillClrLst meth="repeat">
      <a:schemeClr val="dk1"/>
    </dgm:txFillClrLst>
    <dgm:txEffectClrLst/>
  </dgm:styleLbl>
  <dgm:styleLbl name="node4">
    <dgm:fillClrLst meth="repeat">
      <a:schemeClr val="lt1"/>
    </dgm:fillClrLst>
    <dgm:linClrLst meth="repeat">
      <a:schemeClr val="dk1">
        <a:shade val="80000"/>
      </a:schemeClr>
    </dgm:linClrLst>
    <dgm:effectClrLst/>
    <dgm:txLinClrLst/>
    <dgm:txFillClrLst meth="repeat">
      <a:schemeClr val="dk1"/>
    </dgm:txFillClrLst>
    <dgm:txEffectClrLst/>
  </dgm:styleLbl>
  <dgm:styleLbl name="fgImgPlace1">
    <dgm:fillClrLst meth="repeat">
      <a:schemeClr val="dk1">
        <a:tint val="40000"/>
      </a:schemeClr>
    </dgm:fillClrLst>
    <dgm:linClrLst meth="repeat">
      <a:schemeClr val="dk1">
        <a:shade val="80000"/>
      </a:schemeClr>
    </dgm:linClrLst>
    <dgm:effectClrLst/>
    <dgm:txLinClrLst/>
    <dgm:txFillClrLst meth="repeat">
      <a:schemeClr val="lt1"/>
    </dgm:txFillClrLst>
    <dgm:txEffectClrLst/>
  </dgm:styleLbl>
  <dgm:styleLbl name="alignImgPlace1">
    <dgm:fillClrLst meth="repeat">
      <a:schemeClr val="dk1">
        <a:tint val="40000"/>
      </a:schemeClr>
    </dgm:fillClrLst>
    <dgm:linClrLst meth="repeat">
      <a:schemeClr val="dk1">
        <a:shade val="80000"/>
      </a:schemeClr>
    </dgm:linClrLst>
    <dgm:effectClrLst/>
    <dgm:txLinClrLst/>
    <dgm:txFillClrLst meth="repeat">
      <a:schemeClr val="lt1"/>
    </dgm:txFillClrLst>
    <dgm:txEffectClrLst/>
  </dgm:styleLbl>
  <dgm:styleLbl name="bgImgPlace1">
    <dgm:fillClrLst meth="repeat">
      <a:schemeClr val="dk1">
        <a:tint val="40000"/>
      </a:schemeClr>
    </dgm:fillClrLst>
    <dgm:linClrLst meth="repeat">
      <a:schemeClr val="dk1">
        <a:shade val="80000"/>
      </a:schemeClr>
    </dgm:linClrLst>
    <dgm:effectClrLst/>
    <dgm:txLinClrLst/>
    <dgm:txFillClrLst meth="repeat">
      <a:schemeClr val="lt1"/>
    </dgm:txFillClrLst>
    <dgm:txEffectClrLst/>
  </dgm:styleLbl>
  <dgm:styleLbl name="sibTrans2D1">
    <dgm:fillClrLst meth="repeat">
      <a:schemeClr val="dk1">
        <a:tint val="60000"/>
      </a:schemeClr>
    </dgm:fillClrLst>
    <dgm:linClrLst meth="repeat">
      <a:schemeClr val="dk1">
        <a:tint val="60000"/>
      </a:schemeClr>
    </dgm:linClrLst>
    <dgm:effectClrLst/>
    <dgm:txLinClrLst/>
    <dgm:txFillClrLst meth="repeat">
      <a:schemeClr val="dk1"/>
    </dgm:txFillClrLst>
    <dgm:txEffectClrLst/>
  </dgm:styleLbl>
  <dgm:styleLbl name="fgSibTrans2D1">
    <dgm:fillClrLst meth="repeat">
      <a:schemeClr val="dk1">
        <a:tint val="60000"/>
      </a:schemeClr>
    </dgm:fillClrLst>
    <dgm:linClrLst meth="repeat">
      <a:schemeClr val="dk1">
        <a:tint val="60000"/>
      </a:schemeClr>
    </dgm:linClrLst>
    <dgm:effectClrLst/>
    <dgm:txLinClrLst/>
    <dgm:txFillClrLst meth="repeat">
      <a:schemeClr val="dk1"/>
    </dgm:txFillClrLst>
    <dgm:txEffectClrLst/>
  </dgm:styleLbl>
  <dgm:styleLbl name="bgSibTrans2D1">
    <dgm:fillClrLst meth="repeat">
      <a:schemeClr val="dk1">
        <a:tint val="60000"/>
      </a:schemeClr>
    </dgm:fillClrLst>
    <dgm:linClrLst meth="repeat">
      <a:schemeClr val="dk1">
        <a:tint val="60000"/>
      </a:schemeClr>
    </dgm:linClrLst>
    <dgm:effectClrLst/>
    <dgm:txLinClrLst/>
    <dgm:txFillClrLst meth="repeat">
      <a:schemeClr val="dk1"/>
    </dgm:txFillClrLst>
    <dgm:txEffectClrLst/>
  </dgm:styleLbl>
  <dgm:styleLbl name="sibTrans1D1">
    <dgm:fillClrLst meth="repeat">
      <a:schemeClr val="dk1"/>
    </dgm:fillClrLst>
    <dgm:linClrLst meth="repeat">
      <a:schemeClr val="dk1"/>
    </dgm:linClrLst>
    <dgm:effectClrLst/>
    <dgm:txLinClrLst/>
    <dgm:txFillClrLst meth="repeat">
      <a:schemeClr val="tx1"/>
    </dgm:txFillClrLst>
    <dgm:txEffectClrLst/>
  </dgm:styleLbl>
  <dgm:styleLbl name="callout">
    <dgm:fillClrLst meth="repeat">
      <a:schemeClr val="dk1"/>
    </dgm:fillClrLst>
    <dgm:linClrLst meth="repeat">
      <a:schemeClr val="dk1"/>
    </dgm:linClrLst>
    <dgm:effectClrLst/>
    <dgm:txLinClrLst/>
    <dgm:txFillClrLst meth="repeat">
      <a:schemeClr val="tx1"/>
    </dgm:txFillClrLst>
    <dgm:txEffectClrLst/>
  </dgm:styleLbl>
  <dgm:styleLbl name="asst0">
    <dgm:fillClrLst meth="repeat">
      <a:schemeClr val="lt1"/>
    </dgm:fillClrLst>
    <dgm:linClrLst meth="repeat">
      <a:schemeClr val="dk1">
        <a:shade val="80000"/>
      </a:schemeClr>
    </dgm:linClrLst>
    <dgm:effectClrLst/>
    <dgm:txLinClrLst/>
    <dgm:txFillClrLst meth="repeat">
      <a:schemeClr val="dk1"/>
    </dgm:txFillClrLst>
    <dgm:txEffectClrLst/>
  </dgm:styleLbl>
  <dgm:styleLbl name="asst1">
    <dgm:fillClrLst meth="repeat">
      <a:schemeClr val="lt1"/>
    </dgm:fillClrLst>
    <dgm:linClrLst meth="repeat">
      <a:schemeClr val="dk1">
        <a:shade val="80000"/>
      </a:schemeClr>
    </dgm:linClrLst>
    <dgm:effectClrLst/>
    <dgm:txLinClrLst/>
    <dgm:txFillClrLst meth="repeat">
      <a:schemeClr val="dk1"/>
    </dgm:txFillClrLst>
    <dgm:txEffectClrLst/>
  </dgm:styleLbl>
  <dgm:styleLbl name="asst2">
    <dgm:fillClrLst meth="repeat">
      <a:schemeClr val="lt1"/>
    </dgm:fillClrLst>
    <dgm:linClrLst meth="repeat">
      <a:schemeClr val="dk1">
        <a:shade val="80000"/>
      </a:schemeClr>
    </dgm:linClrLst>
    <dgm:effectClrLst/>
    <dgm:txLinClrLst/>
    <dgm:txFillClrLst meth="repeat">
      <a:schemeClr val="dk1"/>
    </dgm:txFillClrLst>
    <dgm:txEffectClrLst/>
  </dgm:styleLbl>
  <dgm:styleLbl name="asst3">
    <dgm:fillClrLst meth="repeat">
      <a:schemeClr val="lt1"/>
    </dgm:fillClrLst>
    <dgm:linClrLst meth="repeat">
      <a:schemeClr val="dk1">
        <a:shade val="80000"/>
      </a:schemeClr>
    </dgm:linClrLst>
    <dgm:effectClrLst/>
    <dgm:txLinClrLst/>
    <dgm:txFillClrLst meth="repeat">
      <a:schemeClr val="dk1"/>
    </dgm:txFillClrLst>
    <dgm:txEffectClrLst/>
  </dgm:styleLbl>
  <dgm:styleLbl name="asst4">
    <dgm:fillClrLst meth="repeat">
      <a:schemeClr val="lt1"/>
    </dgm:fillClrLst>
    <dgm:linClrLst meth="repeat">
      <a:schemeClr val="dk1">
        <a:shade val="80000"/>
      </a:schemeClr>
    </dgm:linClrLst>
    <dgm:effectClrLst/>
    <dgm:txLinClrLst/>
    <dgm:txFillClrLst meth="repeat">
      <a:schemeClr val="dk1"/>
    </dgm:txFillClrLst>
    <dgm:txEffectClrLst/>
  </dgm:styleLbl>
  <dgm:styleLbl name="parChTrans2D1">
    <dgm:fillClrLst meth="repeat">
      <a:schemeClr val="dk1">
        <a:tint val="60000"/>
      </a:schemeClr>
    </dgm:fillClrLst>
    <dgm:linClrLst meth="repeat">
      <a:schemeClr val="dk1">
        <a:tint val="60000"/>
      </a:schemeClr>
    </dgm:linClrLst>
    <dgm:effectClrLst/>
    <dgm:txLinClrLst/>
    <dgm:txFillClrLst/>
    <dgm:txEffectClrLst/>
  </dgm:styleLbl>
  <dgm:styleLbl name="parChTrans2D2">
    <dgm:fillClrLst meth="repeat">
      <a:schemeClr val="dk1"/>
    </dgm:fillClrLst>
    <dgm:linClrLst meth="repeat">
      <a:schemeClr val="dk1"/>
    </dgm:linClrLst>
    <dgm:effectClrLst/>
    <dgm:txLinClrLst/>
    <dgm:txFillClrLst/>
    <dgm:txEffectClrLst/>
  </dgm:styleLbl>
  <dgm:styleLbl name="parChTrans2D3">
    <dgm:fillClrLst meth="repeat">
      <a:schemeClr val="dk1"/>
    </dgm:fillClrLst>
    <dgm:linClrLst meth="repeat">
      <a:schemeClr val="dk1"/>
    </dgm:linClrLst>
    <dgm:effectClrLst/>
    <dgm:txLinClrLst/>
    <dgm:txFillClrLst/>
    <dgm:txEffectClrLst/>
  </dgm:styleLbl>
  <dgm:styleLbl name="parChTrans2D4">
    <dgm:fillClrLst meth="repeat">
      <a:schemeClr val="dk1"/>
    </dgm:fillClrLst>
    <dgm:linClrLst meth="repeat">
      <a:schemeClr val="dk1"/>
    </dgm:linClrLst>
    <dgm:effectClrLst/>
    <dgm:txLinClrLst/>
    <dgm:txFillClrLst meth="repeat">
      <a:schemeClr val="lt1"/>
    </dgm:txFillClrLst>
    <dgm:txEffectClrLst/>
  </dgm:styleLbl>
  <dgm:styleLbl name="parChTrans1D1">
    <dgm:fillClrLst meth="repeat">
      <a:schemeClr val="dk1"/>
    </dgm:fillClrLst>
    <dgm:linClrLst meth="repeat">
      <a:schemeClr val="dk1">
        <a:shade val="60000"/>
      </a:schemeClr>
    </dgm:linClrLst>
    <dgm:effectClrLst/>
    <dgm:txLinClrLst/>
    <dgm:txFillClrLst meth="repeat">
      <a:schemeClr val="tx1"/>
    </dgm:txFillClrLst>
    <dgm:txEffectClrLst/>
  </dgm:styleLbl>
  <dgm:styleLbl name="parChTrans1D2">
    <dgm:fillClrLst meth="repeat">
      <a:schemeClr val="dk1"/>
    </dgm:fillClrLst>
    <dgm:linClrLst meth="repeat">
      <a:schemeClr val="dk1">
        <a:shade val="60000"/>
      </a:schemeClr>
    </dgm:linClrLst>
    <dgm:effectClrLst/>
    <dgm:txLinClrLst/>
    <dgm:txFillClrLst meth="repeat">
      <a:schemeClr val="tx1"/>
    </dgm:txFillClrLst>
    <dgm:txEffectClrLst/>
  </dgm:styleLbl>
  <dgm:styleLbl name="parChTrans1D3">
    <dgm:fillClrLst meth="repeat">
      <a:schemeClr val="dk1"/>
    </dgm:fillClrLst>
    <dgm:linClrLst meth="repeat">
      <a:schemeClr val="dk1">
        <a:shade val="80000"/>
      </a:schemeClr>
    </dgm:linClrLst>
    <dgm:effectClrLst/>
    <dgm:txLinClrLst/>
    <dgm:txFillClrLst meth="repeat">
      <a:schemeClr val="tx1"/>
    </dgm:txFillClrLst>
    <dgm:txEffectClrLst/>
  </dgm:styleLbl>
  <dgm:styleLbl name="parChTrans1D4">
    <dgm:fillClrLst meth="repeat">
      <a:schemeClr val="dk1"/>
    </dgm:fillClrLst>
    <dgm:linClrLst meth="repeat">
      <a:schemeClr val="dk1">
        <a:shade val="80000"/>
      </a:schemeClr>
    </dgm:linClrLst>
    <dgm:effectClrLst/>
    <dgm:txLinClrLst/>
    <dgm:txFillClrLst meth="repeat">
      <a:schemeClr val="tx1"/>
    </dgm:txFillClrLst>
    <dgm:txEffectClrLst/>
  </dgm:styleLbl>
  <dgm:styleLbl name="fgAcc1">
    <dgm:fillClrLst meth="repeat">
      <a:schemeClr val="dk1">
        <a:alpha val="90000"/>
        <a:tint val="40000"/>
      </a:schemeClr>
    </dgm:fillClrLst>
    <dgm:linClrLst meth="repeat">
      <a:schemeClr val="dk1"/>
    </dgm:linClrLst>
    <dgm:effectClrLst/>
    <dgm:txLinClrLst/>
    <dgm:txFillClrLst meth="repeat">
      <a:schemeClr val="dk1"/>
    </dgm:txFillClrLst>
    <dgm:txEffectClrLst/>
  </dgm:styleLbl>
  <dgm:styleLbl name="conFgAcc1">
    <dgm:fillClrLst meth="repeat">
      <a:schemeClr val="dk1">
        <a:alpha val="90000"/>
        <a:tint val="40000"/>
      </a:schemeClr>
    </dgm:fillClrLst>
    <dgm:linClrLst meth="repeat">
      <a:schemeClr val="dk1"/>
    </dgm:linClrLst>
    <dgm:effectClrLst/>
    <dgm:txLinClrLst/>
    <dgm:txFillClrLst meth="repeat">
      <a:schemeClr val="dk1"/>
    </dgm:txFillClrLst>
    <dgm:txEffectClrLst/>
  </dgm:styleLbl>
  <dgm:styleLbl name="alignAcc1">
    <dgm:fillClrLst meth="repeat">
      <a:schemeClr val="dk1">
        <a:alpha val="90000"/>
        <a:tint val="40000"/>
      </a:schemeClr>
    </dgm:fillClrLst>
    <dgm:linClrLst meth="repeat">
      <a:schemeClr val="dk1"/>
    </dgm:linClrLst>
    <dgm:effectClrLst/>
    <dgm:txLinClrLst/>
    <dgm:txFillClrLst meth="repeat">
      <a:schemeClr val="dk1"/>
    </dgm:txFillClrLst>
    <dgm:txEffectClrLst/>
  </dgm:styleLbl>
  <dgm:styleLbl name="trAlignAcc1">
    <dgm:fillClrLst meth="repeat">
      <a:schemeClr val="dk1">
        <a:alpha val="40000"/>
        <a:tint val="40000"/>
      </a:schemeClr>
    </dgm:fillClrLst>
    <dgm:linClrLst meth="repeat">
      <a:schemeClr val="dk1"/>
    </dgm:linClrLst>
    <dgm:effectClrLst/>
    <dgm:txLinClrLst/>
    <dgm:txFillClrLst meth="repeat">
      <a:schemeClr val="dk1"/>
    </dgm:txFillClrLst>
    <dgm:txEffectClrLst/>
  </dgm:styleLbl>
  <dgm:styleLbl name="bgAcc1">
    <dgm:fillClrLst meth="repeat">
      <a:schemeClr val="dk1">
        <a:alpha val="90000"/>
        <a:tint val="40000"/>
      </a:schemeClr>
    </dgm:fillClrLst>
    <dgm:linClrLst meth="repeat">
      <a:schemeClr val="dk1"/>
    </dgm:linClrLst>
    <dgm:effectClrLst/>
    <dgm:txLinClrLst/>
    <dgm:txFillClrLst meth="repeat">
      <a:schemeClr val="dk1"/>
    </dgm:txFillClrLst>
    <dgm:txEffectClrLst/>
  </dgm:styleLbl>
  <dgm:styleLbl name="solidFgAcc1">
    <dgm:fillClrLst meth="repeat">
      <a:schemeClr val="lt1"/>
    </dgm:fillClrLst>
    <dgm:linClrLst meth="repeat">
      <a:schemeClr val="dk1"/>
    </dgm:linClrLst>
    <dgm:effectClrLst/>
    <dgm:txLinClrLst/>
    <dgm:txFillClrLst meth="repeat">
      <a:schemeClr val="dk1"/>
    </dgm:txFillClrLst>
    <dgm:txEffectClrLst/>
  </dgm:styleLbl>
  <dgm:styleLbl name="solidAlignAcc1">
    <dgm:fillClrLst meth="repeat">
      <a:schemeClr val="lt1"/>
    </dgm:fillClrLst>
    <dgm:linClrLst meth="repeat">
      <a:schemeClr val="dk1"/>
    </dgm:linClrLst>
    <dgm:effectClrLst/>
    <dgm:txLinClrLst/>
    <dgm:txFillClrLst meth="repeat">
      <a:schemeClr val="dk1"/>
    </dgm:txFillClrLst>
    <dgm:txEffectClrLst/>
  </dgm:styleLbl>
  <dgm:styleLbl name="solidBgAcc1">
    <dgm:fillClrLst meth="repeat">
      <a:schemeClr val="lt1"/>
    </dgm:fillClrLst>
    <dgm:linClrLst meth="repeat">
      <a:schemeClr val="dk1"/>
    </dgm:linClrLst>
    <dgm:effectClrLst/>
    <dgm:txLinClrLst/>
    <dgm:txFillClrLst meth="repeat">
      <a:schemeClr val="dk1"/>
    </dgm:txFillClrLst>
    <dgm:txEffectClrLst/>
  </dgm:styleLbl>
  <dgm:styleLbl name="fgAccFollowNode1">
    <dgm:fillClrLst meth="repeat">
      <a:schemeClr val="lt1">
        <a:alpha val="90000"/>
        <a:tint val="40000"/>
      </a:schemeClr>
    </dgm:fillClrLst>
    <dgm:linClrLst meth="repeat">
      <a:schemeClr val="dk1">
        <a:alpha val="90000"/>
      </a:schemeClr>
    </dgm:linClrLst>
    <dgm:effectClrLst/>
    <dgm:txLinClrLst/>
    <dgm:txFillClrLst meth="repeat">
      <a:schemeClr val="dk1"/>
    </dgm:txFillClrLst>
    <dgm:txEffectClrLst/>
  </dgm:styleLbl>
  <dgm:styleLbl name="alignAccFollowNode1">
    <dgm:fillClrLst meth="repeat">
      <a:schemeClr val="lt1">
        <a:alpha val="90000"/>
        <a:tint val="40000"/>
      </a:schemeClr>
    </dgm:fillClrLst>
    <dgm:linClrLst meth="repeat">
      <a:schemeClr val="dk1">
        <a:alpha val="90000"/>
      </a:schemeClr>
    </dgm:linClrLst>
    <dgm:effectClrLst/>
    <dgm:txLinClrLst/>
    <dgm:txFillClrLst meth="repeat">
      <a:schemeClr val="dk1"/>
    </dgm:txFillClrLst>
    <dgm:txEffectClrLst/>
  </dgm:styleLbl>
  <dgm:styleLbl name="bgAccFollowNode1">
    <dgm:fillClrLst meth="repeat">
      <a:schemeClr val="lt1">
        <a:alpha val="90000"/>
        <a:tint val="40000"/>
      </a:schemeClr>
    </dgm:fillClrLst>
    <dgm:linClrLst meth="repeat">
      <a:schemeClr val="dk1">
        <a:alpha val="90000"/>
      </a:schemeClr>
    </dgm:linClrLst>
    <dgm:effectClrLst/>
    <dgm:txLinClrLst/>
    <dgm:txFillClrLst meth="repeat">
      <a:schemeClr val="dk1"/>
    </dgm:txFillClrLst>
    <dgm:txEffectClrLst/>
  </dgm:styleLbl>
  <dgm:styleLbl name="fgAcc0">
    <dgm:fillClrLst meth="repeat">
      <a:schemeClr val="dk1">
        <a:alpha val="90000"/>
        <a:tint val="40000"/>
      </a:schemeClr>
    </dgm:fillClrLst>
    <dgm:linClrLst meth="repeat">
      <a:schemeClr val="dk1"/>
    </dgm:linClrLst>
    <dgm:effectClrLst/>
    <dgm:txLinClrLst/>
    <dgm:txFillClrLst meth="repeat">
      <a:schemeClr val="dk1"/>
    </dgm:txFillClrLst>
    <dgm:txEffectClrLst/>
  </dgm:styleLbl>
  <dgm:styleLbl name="fgAcc2">
    <dgm:fillClrLst meth="repeat">
      <a:schemeClr val="dk1">
        <a:alpha val="90000"/>
        <a:tint val="40000"/>
      </a:schemeClr>
    </dgm:fillClrLst>
    <dgm:linClrLst meth="repeat">
      <a:schemeClr val="dk1"/>
    </dgm:linClrLst>
    <dgm:effectClrLst/>
    <dgm:txLinClrLst/>
    <dgm:txFillClrLst meth="repeat">
      <a:schemeClr val="dk1"/>
    </dgm:txFillClrLst>
    <dgm:txEffectClrLst/>
  </dgm:styleLbl>
  <dgm:styleLbl name="fgAcc3">
    <dgm:fillClrLst meth="repeat">
      <a:schemeClr val="dk1">
        <a:alpha val="90000"/>
        <a:tint val="40000"/>
      </a:schemeClr>
    </dgm:fillClrLst>
    <dgm:linClrLst meth="repeat">
      <a:schemeClr val="dk1"/>
    </dgm:linClrLst>
    <dgm:effectClrLst/>
    <dgm:txLinClrLst/>
    <dgm:txFillClrLst meth="repeat">
      <a:schemeClr val="dk1"/>
    </dgm:txFillClrLst>
    <dgm:txEffectClrLst/>
  </dgm:styleLbl>
  <dgm:styleLbl name="fgAcc4">
    <dgm:fillClrLst meth="repeat">
      <a:schemeClr val="dk1">
        <a:alpha val="90000"/>
        <a:tint val="40000"/>
      </a:schemeClr>
    </dgm:fillClrLst>
    <dgm:linClrLst meth="repeat">
      <a:schemeClr val="dk1"/>
    </dgm:linClrLst>
    <dgm:effectClrLst/>
    <dgm:txLinClrLst/>
    <dgm:txFillClrLst meth="repeat">
      <a:schemeClr val="dk1"/>
    </dgm:txFillClrLst>
    <dgm:txEffectClrLst/>
  </dgm:styleLbl>
  <dgm:styleLbl name="bgShp">
    <dgm:fillClrLst meth="repeat">
      <a:schemeClr val="dk1">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dk1">
        <a:shade val="80000"/>
      </a:schemeClr>
    </dgm:fillClrLst>
    <dgm:linClrLst meth="repeat">
      <a:schemeClr val="dk1"/>
    </dgm:linClrLst>
    <dgm:effectClrLst/>
    <dgm:txLinClrLst/>
    <dgm:txFillClrLst meth="repeat">
      <a:schemeClr val="lt1"/>
    </dgm:txFillClrLst>
    <dgm:txEffectClrLst/>
  </dgm:styleLbl>
  <dgm:styleLbl name="trBgShp">
    <dgm:fillClrLst meth="repeat">
      <a:schemeClr val="dk1">
        <a:tint val="50000"/>
        <a:alpha val="40000"/>
      </a:schemeClr>
    </dgm:fillClrLst>
    <dgm:linClrLst meth="repeat">
      <a:schemeClr val="dk1"/>
    </dgm:linClrLst>
    <dgm:effectClrLst/>
    <dgm:txLinClrLst/>
    <dgm:txFillClrLst meth="repeat">
      <a:schemeClr val="lt1"/>
    </dgm:txFillClrLst>
    <dgm:txEffectClrLst/>
  </dgm:styleLbl>
  <dgm:styleLbl name="fgShp">
    <dgm:fillClrLst meth="repeat">
      <a:schemeClr val="dk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1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12.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13.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14.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2.xml><?xml version="1.0" encoding="utf-8"?>
<dgm:colorsDef xmlns:dgm="http://schemas.openxmlformats.org/drawingml/2006/diagram" xmlns:a="http://schemas.openxmlformats.org/drawingml/2006/main" uniqueId="urn:microsoft.com/office/officeart/2005/8/colors/accent4_1">
  <dgm:title val=""/>
  <dgm:desc val=""/>
  <dgm:catLst>
    <dgm:cat type="accent4" pri="11100"/>
  </dgm:catLst>
  <dgm:styleLbl name="node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lig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l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vennNode1">
    <dgm:fillClrLst meth="repeat">
      <a:schemeClr val="lt1">
        <a:alpha val="50000"/>
      </a:schemeClr>
    </dgm:fillClrLst>
    <dgm:linClrLst meth="repeat">
      <a:schemeClr val="accent4">
        <a:shade val="80000"/>
      </a:schemeClr>
    </dgm:linClrLst>
    <dgm:effectClrLst/>
    <dgm:txLinClrLst/>
    <dgm:txFillClrLst/>
    <dgm:txEffectClrLst/>
  </dgm:styleLbl>
  <dgm:styleLbl name="node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f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align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b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f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b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sibTrans1D1">
    <dgm:fillClrLst meth="repeat">
      <a:schemeClr val="accent4"/>
    </dgm:fillClrLst>
    <dgm:linClrLst meth="repeat">
      <a:schemeClr val="accent4"/>
    </dgm:linClrLst>
    <dgm:effectClrLst/>
    <dgm:txLinClrLst/>
    <dgm:txFillClrLst meth="repeat">
      <a:schemeClr val="tx1"/>
    </dgm:txFillClrLst>
    <dgm:txEffectClrLst/>
  </dgm:styleLbl>
  <dgm:styleLbl name="callout">
    <dgm:fillClrLst meth="repeat">
      <a:schemeClr val="accent4"/>
    </dgm:fillClrLst>
    <dgm:linClrLst meth="repeat">
      <a:schemeClr val="accent4"/>
    </dgm:linClrLst>
    <dgm:effectClrLst/>
    <dgm:txLinClrLst/>
    <dgm:txFillClrLst meth="repeat">
      <a:schemeClr val="tx1"/>
    </dgm:txFillClrLst>
    <dgm:txEffectClrLst/>
  </dgm:styleLbl>
  <dgm:styleLbl name="asst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parChTrans2D1">
    <dgm:fillClrLst meth="repeat">
      <a:schemeClr val="accent4">
        <a:tint val="60000"/>
      </a:schemeClr>
    </dgm:fillClrLst>
    <dgm:linClrLst meth="repeat">
      <a:schemeClr val="accent4">
        <a:tint val="60000"/>
      </a:schemeClr>
    </dgm:linClrLst>
    <dgm:effectClrLst/>
    <dgm:txLinClrLst/>
    <dgm:txFillClrLst/>
    <dgm:txEffectClrLst/>
  </dgm:styleLbl>
  <dgm:styleLbl name="parChTrans2D2">
    <dgm:fillClrLst meth="repeat">
      <a:schemeClr val="accent4"/>
    </dgm:fillClrLst>
    <dgm:linClrLst meth="repeat">
      <a:schemeClr val="accent4"/>
    </dgm:linClrLst>
    <dgm:effectClrLst/>
    <dgm:txLinClrLst/>
    <dgm:txFillClrLst/>
    <dgm:txEffectClrLst/>
  </dgm:styleLbl>
  <dgm:styleLbl name="parChTrans2D3">
    <dgm:fillClrLst meth="repeat">
      <a:schemeClr val="accent4"/>
    </dgm:fillClrLst>
    <dgm:linClrLst meth="repeat">
      <a:schemeClr val="accent4"/>
    </dgm:linClrLst>
    <dgm:effectClrLst/>
    <dgm:txLinClrLst/>
    <dgm:txFillClrLst/>
    <dgm:txEffectClrLst/>
  </dgm:styleLbl>
  <dgm:styleLbl name="parChTrans2D4">
    <dgm:fillClrLst meth="repeat">
      <a:schemeClr val="accent4"/>
    </dgm:fillClrLst>
    <dgm:linClrLst meth="repeat">
      <a:schemeClr val="accent4"/>
    </dgm:linClrLst>
    <dgm:effectClrLst/>
    <dgm:txLinClrLst/>
    <dgm:txFillClrLst meth="repeat">
      <a:schemeClr val="lt1"/>
    </dgm:txFillClrLst>
    <dgm:txEffectClrLst/>
  </dgm:styleLbl>
  <dgm:styleLbl name="parChTrans1D1">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2">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3">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parChTrans1D4">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con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align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trAlignAcc1">
    <dgm:fillClrLst meth="repeat">
      <a:schemeClr val="accent4">
        <a:alpha val="40000"/>
        <a:tint val="40000"/>
      </a:schemeClr>
    </dgm:fillClrLst>
    <dgm:linClrLst meth="repeat">
      <a:schemeClr val="accent4"/>
    </dgm:linClrLst>
    <dgm:effectClrLst/>
    <dgm:txLinClrLst/>
    <dgm:txFillClrLst meth="repeat">
      <a:schemeClr val="dk1"/>
    </dgm:txFillClrLst>
    <dgm:txEffectClrLst/>
  </dgm:styleLbl>
  <dgm:styleLbl name="b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solidFgAcc1">
    <dgm:fillClrLst meth="repeat">
      <a:schemeClr val="lt1"/>
    </dgm:fillClrLst>
    <dgm:linClrLst meth="repeat">
      <a:schemeClr val="accent4"/>
    </dgm:linClrLst>
    <dgm:effectClrLst/>
    <dgm:txLinClrLst/>
    <dgm:txFillClrLst meth="repeat">
      <a:schemeClr val="dk1"/>
    </dgm:txFillClrLst>
    <dgm:txEffectClrLst/>
  </dgm:styleLbl>
  <dgm:styleLbl name="solidAlignAcc1">
    <dgm:fillClrLst meth="repeat">
      <a:schemeClr val="lt1"/>
    </dgm:fillClrLst>
    <dgm:linClrLst meth="repeat">
      <a:schemeClr val="accent4"/>
    </dgm:linClrLst>
    <dgm:effectClrLst/>
    <dgm:txLinClrLst/>
    <dgm:txFillClrLst meth="repeat">
      <a:schemeClr val="dk1"/>
    </dgm:txFillClrLst>
    <dgm:txEffectClrLst/>
  </dgm:styleLbl>
  <dgm:styleLbl name="solidBgAcc1">
    <dgm:fillClrLst meth="repeat">
      <a:schemeClr val="lt1"/>
    </dgm:fillClrLst>
    <dgm:linClrLst meth="repeat">
      <a:schemeClr val="accent4"/>
    </dgm:linClrLst>
    <dgm:effectClrLst/>
    <dgm:txLinClrLst/>
    <dgm:txFillClrLst meth="repeat">
      <a:schemeClr val="dk1"/>
    </dgm:txFillClrLst>
    <dgm:txEffectClrLst/>
  </dgm:styleLbl>
  <dgm:styleLbl name="f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align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b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fgAcc0">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2">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3">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4">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accent4"/>
    </dgm:linClrLst>
    <dgm:effectClrLst/>
    <dgm:txLinClrLst/>
    <dgm:txFillClrLst meth="repeat">
      <a:schemeClr val="dk1"/>
    </dgm:txFillClrLst>
    <dgm:txEffectClrLst/>
  </dgm:styleLbl>
  <dgm:styleLbl name="dkBgShp">
    <dgm:fillClrLst meth="repeat">
      <a:schemeClr val="accent4">
        <a:shade val="80000"/>
      </a:schemeClr>
    </dgm:fillClrLst>
    <dgm:linClrLst meth="repeat">
      <a:schemeClr val="accent4"/>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3.xml><?xml version="1.0" encoding="utf-8"?>
<dgm:colorsDef xmlns:dgm="http://schemas.openxmlformats.org/drawingml/2006/diagram" xmlns:a="http://schemas.openxmlformats.org/drawingml/2006/main" uniqueId="urn:microsoft.com/office/officeart/2005/8/colors/accent4_1">
  <dgm:title val=""/>
  <dgm:desc val=""/>
  <dgm:catLst>
    <dgm:cat type="accent4" pri="11100"/>
  </dgm:catLst>
  <dgm:styleLbl name="node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lig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l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vennNode1">
    <dgm:fillClrLst meth="repeat">
      <a:schemeClr val="lt1">
        <a:alpha val="50000"/>
      </a:schemeClr>
    </dgm:fillClrLst>
    <dgm:linClrLst meth="repeat">
      <a:schemeClr val="accent4">
        <a:shade val="80000"/>
      </a:schemeClr>
    </dgm:linClrLst>
    <dgm:effectClrLst/>
    <dgm:txLinClrLst/>
    <dgm:txFillClrLst/>
    <dgm:txEffectClrLst/>
  </dgm:styleLbl>
  <dgm:styleLbl name="node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f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align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b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f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b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sibTrans1D1">
    <dgm:fillClrLst meth="repeat">
      <a:schemeClr val="accent4"/>
    </dgm:fillClrLst>
    <dgm:linClrLst meth="repeat">
      <a:schemeClr val="accent4"/>
    </dgm:linClrLst>
    <dgm:effectClrLst/>
    <dgm:txLinClrLst/>
    <dgm:txFillClrLst meth="repeat">
      <a:schemeClr val="tx1"/>
    </dgm:txFillClrLst>
    <dgm:txEffectClrLst/>
  </dgm:styleLbl>
  <dgm:styleLbl name="callout">
    <dgm:fillClrLst meth="repeat">
      <a:schemeClr val="accent4"/>
    </dgm:fillClrLst>
    <dgm:linClrLst meth="repeat">
      <a:schemeClr val="accent4"/>
    </dgm:linClrLst>
    <dgm:effectClrLst/>
    <dgm:txLinClrLst/>
    <dgm:txFillClrLst meth="repeat">
      <a:schemeClr val="tx1"/>
    </dgm:txFillClrLst>
    <dgm:txEffectClrLst/>
  </dgm:styleLbl>
  <dgm:styleLbl name="asst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parChTrans2D1">
    <dgm:fillClrLst meth="repeat">
      <a:schemeClr val="accent4">
        <a:tint val="60000"/>
      </a:schemeClr>
    </dgm:fillClrLst>
    <dgm:linClrLst meth="repeat">
      <a:schemeClr val="accent4">
        <a:tint val="60000"/>
      </a:schemeClr>
    </dgm:linClrLst>
    <dgm:effectClrLst/>
    <dgm:txLinClrLst/>
    <dgm:txFillClrLst/>
    <dgm:txEffectClrLst/>
  </dgm:styleLbl>
  <dgm:styleLbl name="parChTrans2D2">
    <dgm:fillClrLst meth="repeat">
      <a:schemeClr val="accent4"/>
    </dgm:fillClrLst>
    <dgm:linClrLst meth="repeat">
      <a:schemeClr val="accent4"/>
    </dgm:linClrLst>
    <dgm:effectClrLst/>
    <dgm:txLinClrLst/>
    <dgm:txFillClrLst/>
    <dgm:txEffectClrLst/>
  </dgm:styleLbl>
  <dgm:styleLbl name="parChTrans2D3">
    <dgm:fillClrLst meth="repeat">
      <a:schemeClr val="accent4"/>
    </dgm:fillClrLst>
    <dgm:linClrLst meth="repeat">
      <a:schemeClr val="accent4"/>
    </dgm:linClrLst>
    <dgm:effectClrLst/>
    <dgm:txLinClrLst/>
    <dgm:txFillClrLst/>
    <dgm:txEffectClrLst/>
  </dgm:styleLbl>
  <dgm:styleLbl name="parChTrans2D4">
    <dgm:fillClrLst meth="repeat">
      <a:schemeClr val="accent4"/>
    </dgm:fillClrLst>
    <dgm:linClrLst meth="repeat">
      <a:schemeClr val="accent4"/>
    </dgm:linClrLst>
    <dgm:effectClrLst/>
    <dgm:txLinClrLst/>
    <dgm:txFillClrLst meth="repeat">
      <a:schemeClr val="lt1"/>
    </dgm:txFillClrLst>
    <dgm:txEffectClrLst/>
  </dgm:styleLbl>
  <dgm:styleLbl name="parChTrans1D1">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2">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3">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parChTrans1D4">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con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align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trAlignAcc1">
    <dgm:fillClrLst meth="repeat">
      <a:schemeClr val="accent4">
        <a:alpha val="40000"/>
        <a:tint val="40000"/>
      </a:schemeClr>
    </dgm:fillClrLst>
    <dgm:linClrLst meth="repeat">
      <a:schemeClr val="accent4"/>
    </dgm:linClrLst>
    <dgm:effectClrLst/>
    <dgm:txLinClrLst/>
    <dgm:txFillClrLst meth="repeat">
      <a:schemeClr val="dk1"/>
    </dgm:txFillClrLst>
    <dgm:txEffectClrLst/>
  </dgm:styleLbl>
  <dgm:styleLbl name="b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solidFgAcc1">
    <dgm:fillClrLst meth="repeat">
      <a:schemeClr val="lt1"/>
    </dgm:fillClrLst>
    <dgm:linClrLst meth="repeat">
      <a:schemeClr val="accent4"/>
    </dgm:linClrLst>
    <dgm:effectClrLst/>
    <dgm:txLinClrLst/>
    <dgm:txFillClrLst meth="repeat">
      <a:schemeClr val="dk1"/>
    </dgm:txFillClrLst>
    <dgm:txEffectClrLst/>
  </dgm:styleLbl>
  <dgm:styleLbl name="solidAlignAcc1">
    <dgm:fillClrLst meth="repeat">
      <a:schemeClr val="lt1"/>
    </dgm:fillClrLst>
    <dgm:linClrLst meth="repeat">
      <a:schemeClr val="accent4"/>
    </dgm:linClrLst>
    <dgm:effectClrLst/>
    <dgm:txLinClrLst/>
    <dgm:txFillClrLst meth="repeat">
      <a:schemeClr val="dk1"/>
    </dgm:txFillClrLst>
    <dgm:txEffectClrLst/>
  </dgm:styleLbl>
  <dgm:styleLbl name="solidBgAcc1">
    <dgm:fillClrLst meth="repeat">
      <a:schemeClr val="lt1"/>
    </dgm:fillClrLst>
    <dgm:linClrLst meth="repeat">
      <a:schemeClr val="accent4"/>
    </dgm:linClrLst>
    <dgm:effectClrLst/>
    <dgm:txLinClrLst/>
    <dgm:txFillClrLst meth="repeat">
      <a:schemeClr val="dk1"/>
    </dgm:txFillClrLst>
    <dgm:txEffectClrLst/>
  </dgm:styleLbl>
  <dgm:styleLbl name="f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align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b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fgAcc0">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2">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3">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4">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accent4"/>
    </dgm:linClrLst>
    <dgm:effectClrLst/>
    <dgm:txLinClrLst/>
    <dgm:txFillClrLst meth="repeat">
      <a:schemeClr val="dk1"/>
    </dgm:txFillClrLst>
    <dgm:txEffectClrLst/>
  </dgm:styleLbl>
  <dgm:styleLbl name="dkBgShp">
    <dgm:fillClrLst meth="repeat">
      <a:schemeClr val="accent4">
        <a:shade val="80000"/>
      </a:schemeClr>
    </dgm:fillClrLst>
    <dgm:linClrLst meth="repeat">
      <a:schemeClr val="accent4"/>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4.xml><?xml version="1.0" encoding="utf-8"?>
<dgm:colorsDef xmlns:dgm="http://schemas.openxmlformats.org/drawingml/2006/diagram" xmlns:a="http://schemas.openxmlformats.org/drawingml/2006/main" uniqueId="urn:microsoft.com/office/officeart/2005/8/colors/accent4_1">
  <dgm:title val=""/>
  <dgm:desc val=""/>
  <dgm:catLst>
    <dgm:cat type="accent4" pri="11100"/>
  </dgm:catLst>
  <dgm:styleLbl name="node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lig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l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vennNode1">
    <dgm:fillClrLst meth="repeat">
      <a:schemeClr val="lt1">
        <a:alpha val="50000"/>
      </a:schemeClr>
    </dgm:fillClrLst>
    <dgm:linClrLst meth="repeat">
      <a:schemeClr val="accent4">
        <a:shade val="80000"/>
      </a:schemeClr>
    </dgm:linClrLst>
    <dgm:effectClrLst/>
    <dgm:txLinClrLst/>
    <dgm:txFillClrLst/>
    <dgm:txEffectClrLst/>
  </dgm:styleLbl>
  <dgm:styleLbl name="node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f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align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b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f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b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sibTrans1D1">
    <dgm:fillClrLst meth="repeat">
      <a:schemeClr val="accent4"/>
    </dgm:fillClrLst>
    <dgm:linClrLst meth="repeat">
      <a:schemeClr val="accent4"/>
    </dgm:linClrLst>
    <dgm:effectClrLst/>
    <dgm:txLinClrLst/>
    <dgm:txFillClrLst meth="repeat">
      <a:schemeClr val="tx1"/>
    </dgm:txFillClrLst>
    <dgm:txEffectClrLst/>
  </dgm:styleLbl>
  <dgm:styleLbl name="callout">
    <dgm:fillClrLst meth="repeat">
      <a:schemeClr val="accent4"/>
    </dgm:fillClrLst>
    <dgm:linClrLst meth="repeat">
      <a:schemeClr val="accent4"/>
    </dgm:linClrLst>
    <dgm:effectClrLst/>
    <dgm:txLinClrLst/>
    <dgm:txFillClrLst meth="repeat">
      <a:schemeClr val="tx1"/>
    </dgm:txFillClrLst>
    <dgm:txEffectClrLst/>
  </dgm:styleLbl>
  <dgm:styleLbl name="asst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parChTrans2D1">
    <dgm:fillClrLst meth="repeat">
      <a:schemeClr val="accent4">
        <a:tint val="60000"/>
      </a:schemeClr>
    </dgm:fillClrLst>
    <dgm:linClrLst meth="repeat">
      <a:schemeClr val="accent4">
        <a:tint val="60000"/>
      </a:schemeClr>
    </dgm:linClrLst>
    <dgm:effectClrLst/>
    <dgm:txLinClrLst/>
    <dgm:txFillClrLst/>
    <dgm:txEffectClrLst/>
  </dgm:styleLbl>
  <dgm:styleLbl name="parChTrans2D2">
    <dgm:fillClrLst meth="repeat">
      <a:schemeClr val="accent4"/>
    </dgm:fillClrLst>
    <dgm:linClrLst meth="repeat">
      <a:schemeClr val="accent4"/>
    </dgm:linClrLst>
    <dgm:effectClrLst/>
    <dgm:txLinClrLst/>
    <dgm:txFillClrLst/>
    <dgm:txEffectClrLst/>
  </dgm:styleLbl>
  <dgm:styleLbl name="parChTrans2D3">
    <dgm:fillClrLst meth="repeat">
      <a:schemeClr val="accent4"/>
    </dgm:fillClrLst>
    <dgm:linClrLst meth="repeat">
      <a:schemeClr val="accent4"/>
    </dgm:linClrLst>
    <dgm:effectClrLst/>
    <dgm:txLinClrLst/>
    <dgm:txFillClrLst/>
    <dgm:txEffectClrLst/>
  </dgm:styleLbl>
  <dgm:styleLbl name="parChTrans2D4">
    <dgm:fillClrLst meth="repeat">
      <a:schemeClr val="accent4"/>
    </dgm:fillClrLst>
    <dgm:linClrLst meth="repeat">
      <a:schemeClr val="accent4"/>
    </dgm:linClrLst>
    <dgm:effectClrLst/>
    <dgm:txLinClrLst/>
    <dgm:txFillClrLst meth="repeat">
      <a:schemeClr val="lt1"/>
    </dgm:txFillClrLst>
    <dgm:txEffectClrLst/>
  </dgm:styleLbl>
  <dgm:styleLbl name="parChTrans1D1">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2">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3">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parChTrans1D4">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con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align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trAlignAcc1">
    <dgm:fillClrLst meth="repeat">
      <a:schemeClr val="accent4">
        <a:alpha val="40000"/>
        <a:tint val="40000"/>
      </a:schemeClr>
    </dgm:fillClrLst>
    <dgm:linClrLst meth="repeat">
      <a:schemeClr val="accent4"/>
    </dgm:linClrLst>
    <dgm:effectClrLst/>
    <dgm:txLinClrLst/>
    <dgm:txFillClrLst meth="repeat">
      <a:schemeClr val="dk1"/>
    </dgm:txFillClrLst>
    <dgm:txEffectClrLst/>
  </dgm:styleLbl>
  <dgm:styleLbl name="b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solidFgAcc1">
    <dgm:fillClrLst meth="repeat">
      <a:schemeClr val="lt1"/>
    </dgm:fillClrLst>
    <dgm:linClrLst meth="repeat">
      <a:schemeClr val="accent4"/>
    </dgm:linClrLst>
    <dgm:effectClrLst/>
    <dgm:txLinClrLst/>
    <dgm:txFillClrLst meth="repeat">
      <a:schemeClr val="dk1"/>
    </dgm:txFillClrLst>
    <dgm:txEffectClrLst/>
  </dgm:styleLbl>
  <dgm:styleLbl name="solidAlignAcc1">
    <dgm:fillClrLst meth="repeat">
      <a:schemeClr val="lt1"/>
    </dgm:fillClrLst>
    <dgm:linClrLst meth="repeat">
      <a:schemeClr val="accent4"/>
    </dgm:linClrLst>
    <dgm:effectClrLst/>
    <dgm:txLinClrLst/>
    <dgm:txFillClrLst meth="repeat">
      <a:schemeClr val="dk1"/>
    </dgm:txFillClrLst>
    <dgm:txEffectClrLst/>
  </dgm:styleLbl>
  <dgm:styleLbl name="solidBgAcc1">
    <dgm:fillClrLst meth="repeat">
      <a:schemeClr val="lt1"/>
    </dgm:fillClrLst>
    <dgm:linClrLst meth="repeat">
      <a:schemeClr val="accent4"/>
    </dgm:linClrLst>
    <dgm:effectClrLst/>
    <dgm:txLinClrLst/>
    <dgm:txFillClrLst meth="repeat">
      <a:schemeClr val="dk1"/>
    </dgm:txFillClrLst>
    <dgm:txEffectClrLst/>
  </dgm:styleLbl>
  <dgm:styleLbl name="f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align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b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fgAcc0">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2">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3">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4">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accent4"/>
    </dgm:linClrLst>
    <dgm:effectClrLst/>
    <dgm:txLinClrLst/>
    <dgm:txFillClrLst meth="repeat">
      <a:schemeClr val="dk1"/>
    </dgm:txFillClrLst>
    <dgm:txEffectClrLst/>
  </dgm:styleLbl>
  <dgm:styleLbl name="dkBgShp">
    <dgm:fillClrLst meth="repeat">
      <a:schemeClr val="accent4">
        <a:shade val="80000"/>
      </a:schemeClr>
    </dgm:fillClrLst>
    <dgm:linClrLst meth="repeat">
      <a:schemeClr val="accent4"/>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5.xml><?xml version="1.0" encoding="utf-8"?>
<dgm:colorsDef xmlns:dgm="http://schemas.openxmlformats.org/drawingml/2006/diagram" xmlns:a="http://schemas.openxmlformats.org/drawingml/2006/main" uniqueId="urn:microsoft.com/office/officeart/2005/8/colors/accent4_1">
  <dgm:title val=""/>
  <dgm:desc val=""/>
  <dgm:catLst>
    <dgm:cat type="accent4" pri="11100"/>
  </dgm:catLst>
  <dgm:styleLbl name="node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lig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l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vennNode1">
    <dgm:fillClrLst meth="repeat">
      <a:schemeClr val="lt1">
        <a:alpha val="50000"/>
      </a:schemeClr>
    </dgm:fillClrLst>
    <dgm:linClrLst meth="repeat">
      <a:schemeClr val="accent4">
        <a:shade val="80000"/>
      </a:schemeClr>
    </dgm:linClrLst>
    <dgm:effectClrLst/>
    <dgm:txLinClrLst/>
    <dgm:txFillClrLst/>
    <dgm:txEffectClrLst/>
  </dgm:styleLbl>
  <dgm:styleLbl name="node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f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align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b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f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b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sibTrans1D1">
    <dgm:fillClrLst meth="repeat">
      <a:schemeClr val="accent4"/>
    </dgm:fillClrLst>
    <dgm:linClrLst meth="repeat">
      <a:schemeClr val="accent4"/>
    </dgm:linClrLst>
    <dgm:effectClrLst/>
    <dgm:txLinClrLst/>
    <dgm:txFillClrLst meth="repeat">
      <a:schemeClr val="tx1"/>
    </dgm:txFillClrLst>
    <dgm:txEffectClrLst/>
  </dgm:styleLbl>
  <dgm:styleLbl name="callout">
    <dgm:fillClrLst meth="repeat">
      <a:schemeClr val="accent4"/>
    </dgm:fillClrLst>
    <dgm:linClrLst meth="repeat">
      <a:schemeClr val="accent4"/>
    </dgm:linClrLst>
    <dgm:effectClrLst/>
    <dgm:txLinClrLst/>
    <dgm:txFillClrLst meth="repeat">
      <a:schemeClr val="tx1"/>
    </dgm:txFillClrLst>
    <dgm:txEffectClrLst/>
  </dgm:styleLbl>
  <dgm:styleLbl name="asst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parChTrans2D1">
    <dgm:fillClrLst meth="repeat">
      <a:schemeClr val="accent4">
        <a:tint val="60000"/>
      </a:schemeClr>
    </dgm:fillClrLst>
    <dgm:linClrLst meth="repeat">
      <a:schemeClr val="accent4">
        <a:tint val="60000"/>
      </a:schemeClr>
    </dgm:linClrLst>
    <dgm:effectClrLst/>
    <dgm:txLinClrLst/>
    <dgm:txFillClrLst/>
    <dgm:txEffectClrLst/>
  </dgm:styleLbl>
  <dgm:styleLbl name="parChTrans2D2">
    <dgm:fillClrLst meth="repeat">
      <a:schemeClr val="accent4"/>
    </dgm:fillClrLst>
    <dgm:linClrLst meth="repeat">
      <a:schemeClr val="accent4"/>
    </dgm:linClrLst>
    <dgm:effectClrLst/>
    <dgm:txLinClrLst/>
    <dgm:txFillClrLst/>
    <dgm:txEffectClrLst/>
  </dgm:styleLbl>
  <dgm:styleLbl name="parChTrans2D3">
    <dgm:fillClrLst meth="repeat">
      <a:schemeClr val="accent4"/>
    </dgm:fillClrLst>
    <dgm:linClrLst meth="repeat">
      <a:schemeClr val="accent4"/>
    </dgm:linClrLst>
    <dgm:effectClrLst/>
    <dgm:txLinClrLst/>
    <dgm:txFillClrLst/>
    <dgm:txEffectClrLst/>
  </dgm:styleLbl>
  <dgm:styleLbl name="parChTrans2D4">
    <dgm:fillClrLst meth="repeat">
      <a:schemeClr val="accent4"/>
    </dgm:fillClrLst>
    <dgm:linClrLst meth="repeat">
      <a:schemeClr val="accent4"/>
    </dgm:linClrLst>
    <dgm:effectClrLst/>
    <dgm:txLinClrLst/>
    <dgm:txFillClrLst meth="repeat">
      <a:schemeClr val="lt1"/>
    </dgm:txFillClrLst>
    <dgm:txEffectClrLst/>
  </dgm:styleLbl>
  <dgm:styleLbl name="parChTrans1D1">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2">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3">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parChTrans1D4">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con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align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trAlignAcc1">
    <dgm:fillClrLst meth="repeat">
      <a:schemeClr val="accent4">
        <a:alpha val="40000"/>
        <a:tint val="40000"/>
      </a:schemeClr>
    </dgm:fillClrLst>
    <dgm:linClrLst meth="repeat">
      <a:schemeClr val="accent4"/>
    </dgm:linClrLst>
    <dgm:effectClrLst/>
    <dgm:txLinClrLst/>
    <dgm:txFillClrLst meth="repeat">
      <a:schemeClr val="dk1"/>
    </dgm:txFillClrLst>
    <dgm:txEffectClrLst/>
  </dgm:styleLbl>
  <dgm:styleLbl name="b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solidFgAcc1">
    <dgm:fillClrLst meth="repeat">
      <a:schemeClr val="lt1"/>
    </dgm:fillClrLst>
    <dgm:linClrLst meth="repeat">
      <a:schemeClr val="accent4"/>
    </dgm:linClrLst>
    <dgm:effectClrLst/>
    <dgm:txLinClrLst/>
    <dgm:txFillClrLst meth="repeat">
      <a:schemeClr val="dk1"/>
    </dgm:txFillClrLst>
    <dgm:txEffectClrLst/>
  </dgm:styleLbl>
  <dgm:styleLbl name="solidAlignAcc1">
    <dgm:fillClrLst meth="repeat">
      <a:schemeClr val="lt1"/>
    </dgm:fillClrLst>
    <dgm:linClrLst meth="repeat">
      <a:schemeClr val="accent4"/>
    </dgm:linClrLst>
    <dgm:effectClrLst/>
    <dgm:txLinClrLst/>
    <dgm:txFillClrLst meth="repeat">
      <a:schemeClr val="dk1"/>
    </dgm:txFillClrLst>
    <dgm:txEffectClrLst/>
  </dgm:styleLbl>
  <dgm:styleLbl name="solidBgAcc1">
    <dgm:fillClrLst meth="repeat">
      <a:schemeClr val="lt1"/>
    </dgm:fillClrLst>
    <dgm:linClrLst meth="repeat">
      <a:schemeClr val="accent4"/>
    </dgm:linClrLst>
    <dgm:effectClrLst/>
    <dgm:txLinClrLst/>
    <dgm:txFillClrLst meth="repeat">
      <a:schemeClr val="dk1"/>
    </dgm:txFillClrLst>
    <dgm:txEffectClrLst/>
  </dgm:styleLbl>
  <dgm:styleLbl name="f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align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b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fgAcc0">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2">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3">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4">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accent4"/>
    </dgm:linClrLst>
    <dgm:effectClrLst/>
    <dgm:txLinClrLst/>
    <dgm:txFillClrLst meth="repeat">
      <a:schemeClr val="dk1"/>
    </dgm:txFillClrLst>
    <dgm:txEffectClrLst/>
  </dgm:styleLbl>
  <dgm:styleLbl name="dkBgShp">
    <dgm:fillClrLst meth="repeat">
      <a:schemeClr val="accent4">
        <a:shade val="80000"/>
      </a:schemeClr>
    </dgm:fillClrLst>
    <dgm:linClrLst meth="repeat">
      <a:schemeClr val="accent4"/>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6.xml><?xml version="1.0" encoding="utf-8"?>
<dgm:colorsDef xmlns:dgm="http://schemas.openxmlformats.org/drawingml/2006/diagram" xmlns:a="http://schemas.openxmlformats.org/drawingml/2006/main" uniqueId="urn:microsoft.com/office/officeart/2005/8/colors/accent4_1">
  <dgm:title val=""/>
  <dgm:desc val=""/>
  <dgm:catLst>
    <dgm:cat type="accent4" pri="11100"/>
  </dgm:catLst>
  <dgm:styleLbl name="node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lig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l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vennNode1">
    <dgm:fillClrLst meth="repeat">
      <a:schemeClr val="lt1">
        <a:alpha val="50000"/>
      </a:schemeClr>
    </dgm:fillClrLst>
    <dgm:linClrLst meth="repeat">
      <a:schemeClr val="accent4">
        <a:shade val="80000"/>
      </a:schemeClr>
    </dgm:linClrLst>
    <dgm:effectClrLst/>
    <dgm:txLinClrLst/>
    <dgm:txFillClrLst/>
    <dgm:txEffectClrLst/>
  </dgm:styleLbl>
  <dgm:styleLbl name="node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f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align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b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f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b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sibTrans1D1">
    <dgm:fillClrLst meth="repeat">
      <a:schemeClr val="accent4"/>
    </dgm:fillClrLst>
    <dgm:linClrLst meth="repeat">
      <a:schemeClr val="accent4"/>
    </dgm:linClrLst>
    <dgm:effectClrLst/>
    <dgm:txLinClrLst/>
    <dgm:txFillClrLst meth="repeat">
      <a:schemeClr val="tx1"/>
    </dgm:txFillClrLst>
    <dgm:txEffectClrLst/>
  </dgm:styleLbl>
  <dgm:styleLbl name="callout">
    <dgm:fillClrLst meth="repeat">
      <a:schemeClr val="accent4"/>
    </dgm:fillClrLst>
    <dgm:linClrLst meth="repeat">
      <a:schemeClr val="accent4"/>
    </dgm:linClrLst>
    <dgm:effectClrLst/>
    <dgm:txLinClrLst/>
    <dgm:txFillClrLst meth="repeat">
      <a:schemeClr val="tx1"/>
    </dgm:txFillClrLst>
    <dgm:txEffectClrLst/>
  </dgm:styleLbl>
  <dgm:styleLbl name="asst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parChTrans2D1">
    <dgm:fillClrLst meth="repeat">
      <a:schemeClr val="accent4">
        <a:tint val="60000"/>
      </a:schemeClr>
    </dgm:fillClrLst>
    <dgm:linClrLst meth="repeat">
      <a:schemeClr val="accent4">
        <a:tint val="60000"/>
      </a:schemeClr>
    </dgm:linClrLst>
    <dgm:effectClrLst/>
    <dgm:txLinClrLst/>
    <dgm:txFillClrLst/>
    <dgm:txEffectClrLst/>
  </dgm:styleLbl>
  <dgm:styleLbl name="parChTrans2D2">
    <dgm:fillClrLst meth="repeat">
      <a:schemeClr val="accent4"/>
    </dgm:fillClrLst>
    <dgm:linClrLst meth="repeat">
      <a:schemeClr val="accent4"/>
    </dgm:linClrLst>
    <dgm:effectClrLst/>
    <dgm:txLinClrLst/>
    <dgm:txFillClrLst/>
    <dgm:txEffectClrLst/>
  </dgm:styleLbl>
  <dgm:styleLbl name="parChTrans2D3">
    <dgm:fillClrLst meth="repeat">
      <a:schemeClr val="accent4"/>
    </dgm:fillClrLst>
    <dgm:linClrLst meth="repeat">
      <a:schemeClr val="accent4"/>
    </dgm:linClrLst>
    <dgm:effectClrLst/>
    <dgm:txLinClrLst/>
    <dgm:txFillClrLst/>
    <dgm:txEffectClrLst/>
  </dgm:styleLbl>
  <dgm:styleLbl name="parChTrans2D4">
    <dgm:fillClrLst meth="repeat">
      <a:schemeClr val="accent4"/>
    </dgm:fillClrLst>
    <dgm:linClrLst meth="repeat">
      <a:schemeClr val="accent4"/>
    </dgm:linClrLst>
    <dgm:effectClrLst/>
    <dgm:txLinClrLst/>
    <dgm:txFillClrLst meth="repeat">
      <a:schemeClr val="lt1"/>
    </dgm:txFillClrLst>
    <dgm:txEffectClrLst/>
  </dgm:styleLbl>
  <dgm:styleLbl name="parChTrans1D1">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2">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3">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parChTrans1D4">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con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align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trAlignAcc1">
    <dgm:fillClrLst meth="repeat">
      <a:schemeClr val="accent4">
        <a:alpha val="40000"/>
        <a:tint val="40000"/>
      </a:schemeClr>
    </dgm:fillClrLst>
    <dgm:linClrLst meth="repeat">
      <a:schemeClr val="accent4"/>
    </dgm:linClrLst>
    <dgm:effectClrLst/>
    <dgm:txLinClrLst/>
    <dgm:txFillClrLst meth="repeat">
      <a:schemeClr val="dk1"/>
    </dgm:txFillClrLst>
    <dgm:txEffectClrLst/>
  </dgm:styleLbl>
  <dgm:styleLbl name="b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solidFgAcc1">
    <dgm:fillClrLst meth="repeat">
      <a:schemeClr val="lt1"/>
    </dgm:fillClrLst>
    <dgm:linClrLst meth="repeat">
      <a:schemeClr val="accent4"/>
    </dgm:linClrLst>
    <dgm:effectClrLst/>
    <dgm:txLinClrLst/>
    <dgm:txFillClrLst meth="repeat">
      <a:schemeClr val="dk1"/>
    </dgm:txFillClrLst>
    <dgm:txEffectClrLst/>
  </dgm:styleLbl>
  <dgm:styleLbl name="solidAlignAcc1">
    <dgm:fillClrLst meth="repeat">
      <a:schemeClr val="lt1"/>
    </dgm:fillClrLst>
    <dgm:linClrLst meth="repeat">
      <a:schemeClr val="accent4"/>
    </dgm:linClrLst>
    <dgm:effectClrLst/>
    <dgm:txLinClrLst/>
    <dgm:txFillClrLst meth="repeat">
      <a:schemeClr val="dk1"/>
    </dgm:txFillClrLst>
    <dgm:txEffectClrLst/>
  </dgm:styleLbl>
  <dgm:styleLbl name="solidBgAcc1">
    <dgm:fillClrLst meth="repeat">
      <a:schemeClr val="lt1"/>
    </dgm:fillClrLst>
    <dgm:linClrLst meth="repeat">
      <a:schemeClr val="accent4"/>
    </dgm:linClrLst>
    <dgm:effectClrLst/>
    <dgm:txLinClrLst/>
    <dgm:txFillClrLst meth="repeat">
      <a:schemeClr val="dk1"/>
    </dgm:txFillClrLst>
    <dgm:txEffectClrLst/>
  </dgm:styleLbl>
  <dgm:styleLbl name="f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align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b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fgAcc0">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2">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3">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4">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accent4"/>
    </dgm:linClrLst>
    <dgm:effectClrLst/>
    <dgm:txLinClrLst/>
    <dgm:txFillClrLst meth="repeat">
      <a:schemeClr val="dk1"/>
    </dgm:txFillClrLst>
    <dgm:txEffectClrLst/>
  </dgm:styleLbl>
  <dgm:styleLbl name="dkBgShp">
    <dgm:fillClrLst meth="repeat">
      <a:schemeClr val="accent4">
        <a:shade val="80000"/>
      </a:schemeClr>
    </dgm:fillClrLst>
    <dgm:linClrLst meth="repeat">
      <a:schemeClr val="accent4"/>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7.xml><?xml version="1.0" encoding="utf-8"?>
<dgm:colorsDef xmlns:dgm="http://schemas.openxmlformats.org/drawingml/2006/diagram" xmlns:a="http://schemas.openxmlformats.org/drawingml/2006/main" uniqueId="urn:microsoft.com/office/officeart/2005/8/colors/accent4_1">
  <dgm:title val=""/>
  <dgm:desc val=""/>
  <dgm:catLst>
    <dgm:cat type="accent4" pri="11100"/>
  </dgm:catLst>
  <dgm:styleLbl name="node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lig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lnNode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vennNode1">
    <dgm:fillClrLst meth="repeat">
      <a:schemeClr val="lt1">
        <a:alpha val="50000"/>
      </a:schemeClr>
    </dgm:fillClrLst>
    <dgm:linClrLst meth="repeat">
      <a:schemeClr val="accent4">
        <a:shade val="80000"/>
      </a:schemeClr>
    </dgm:linClrLst>
    <dgm:effectClrLst/>
    <dgm:txLinClrLst/>
    <dgm:txFillClrLst/>
    <dgm:txEffectClrLst/>
  </dgm:styleLbl>
  <dgm:styleLbl name="node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node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f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align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bgImgPlace1">
    <dgm:fillClrLst meth="repeat">
      <a:schemeClr val="accent4">
        <a:tint val="40000"/>
      </a:schemeClr>
    </dgm:fillClrLst>
    <dgm:linClrLst meth="repeat">
      <a:schemeClr val="accent4">
        <a:shade val="80000"/>
      </a:schemeClr>
    </dgm:linClrLst>
    <dgm:effectClrLst/>
    <dgm:txLinClrLst/>
    <dgm:txFillClrLst meth="repeat">
      <a:schemeClr val="lt1"/>
    </dgm:txFillClrLst>
    <dgm:txEffectClrLst/>
  </dgm:styleLbl>
  <dgm:styleLbl name="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f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bgSibTrans2D1">
    <dgm:fillClrLst meth="repeat">
      <a:schemeClr val="accent4">
        <a:tint val="60000"/>
      </a:schemeClr>
    </dgm:fillClrLst>
    <dgm:linClrLst meth="repeat">
      <a:schemeClr val="accent4">
        <a:tint val="60000"/>
      </a:schemeClr>
    </dgm:linClrLst>
    <dgm:effectClrLst/>
    <dgm:txLinClrLst/>
    <dgm:txFillClrLst meth="repeat">
      <a:schemeClr val="dk1"/>
    </dgm:txFillClrLst>
    <dgm:txEffectClrLst/>
  </dgm:styleLbl>
  <dgm:styleLbl name="sibTrans1D1">
    <dgm:fillClrLst meth="repeat">
      <a:schemeClr val="accent4"/>
    </dgm:fillClrLst>
    <dgm:linClrLst meth="repeat">
      <a:schemeClr val="accent4"/>
    </dgm:linClrLst>
    <dgm:effectClrLst/>
    <dgm:txLinClrLst/>
    <dgm:txFillClrLst meth="repeat">
      <a:schemeClr val="tx1"/>
    </dgm:txFillClrLst>
    <dgm:txEffectClrLst/>
  </dgm:styleLbl>
  <dgm:styleLbl name="callout">
    <dgm:fillClrLst meth="repeat">
      <a:schemeClr val="accent4"/>
    </dgm:fillClrLst>
    <dgm:linClrLst meth="repeat">
      <a:schemeClr val="accent4"/>
    </dgm:linClrLst>
    <dgm:effectClrLst/>
    <dgm:txLinClrLst/>
    <dgm:txFillClrLst meth="repeat">
      <a:schemeClr val="tx1"/>
    </dgm:txFillClrLst>
    <dgm:txEffectClrLst/>
  </dgm:styleLbl>
  <dgm:styleLbl name="asst0">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1">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2">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3">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asst4">
    <dgm:fillClrLst meth="repeat">
      <a:schemeClr val="lt1"/>
    </dgm:fillClrLst>
    <dgm:linClrLst meth="repeat">
      <a:schemeClr val="accent4">
        <a:shade val="80000"/>
      </a:schemeClr>
    </dgm:linClrLst>
    <dgm:effectClrLst/>
    <dgm:txLinClrLst/>
    <dgm:txFillClrLst meth="repeat">
      <a:schemeClr val="dk1"/>
    </dgm:txFillClrLst>
    <dgm:txEffectClrLst/>
  </dgm:styleLbl>
  <dgm:styleLbl name="parChTrans2D1">
    <dgm:fillClrLst meth="repeat">
      <a:schemeClr val="accent4">
        <a:tint val="60000"/>
      </a:schemeClr>
    </dgm:fillClrLst>
    <dgm:linClrLst meth="repeat">
      <a:schemeClr val="accent4">
        <a:tint val="60000"/>
      </a:schemeClr>
    </dgm:linClrLst>
    <dgm:effectClrLst/>
    <dgm:txLinClrLst/>
    <dgm:txFillClrLst/>
    <dgm:txEffectClrLst/>
  </dgm:styleLbl>
  <dgm:styleLbl name="parChTrans2D2">
    <dgm:fillClrLst meth="repeat">
      <a:schemeClr val="accent4"/>
    </dgm:fillClrLst>
    <dgm:linClrLst meth="repeat">
      <a:schemeClr val="accent4"/>
    </dgm:linClrLst>
    <dgm:effectClrLst/>
    <dgm:txLinClrLst/>
    <dgm:txFillClrLst/>
    <dgm:txEffectClrLst/>
  </dgm:styleLbl>
  <dgm:styleLbl name="parChTrans2D3">
    <dgm:fillClrLst meth="repeat">
      <a:schemeClr val="accent4"/>
    </dgm:fillClrLst>
    <dgm:linClrLst meth="repeat">
      <a:schemeClr val="accent4"/>
    </dgm:linClrLst>
    <dgm:effectClrLst/>
    <dgm:txLinClrLst/>
    <dgm:txFillClrLst/>
    <dgm:txEffectClrLst/>
  </dgm:styleLbl>
  <dgm:styleLbl name="parChTrans2D4">
    <dgm:fillClrLst meth="repeat">
      <a:schemeClr val="accent4"/>
    </dgm:fillClrLst>
    <dgm:linClrLst meth="repeat">
      <a:schemeClr val="accent4"/>
    </dgm:linClrLst>
    <dgm:effectClrLst/>
    <dgm:txLinClrLst/>
    <dgm:txFillClrLst meth="repeat">
      <a:schemeClr val="lt1"/>
    </dgm:txFillClrLst>
    <dgm:txEffectClrLst/>
  </dgm:styleLbl>
  <dgm:styleLbl name="parChTrans1D1">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2">
    <dgm:fillClrLst meth="repeat">
      <a:schemeClr val="accent4"/>
    </dgm:fillClrLst>
    <dgm:linClrLst meth="repeat">
      <a:schemeClr val="accent4">
        <a:shade val="60000"/>
      </a:schemeClr>
    </dgm:linClrLst>
    <dgm:effectClrLst/>
    <dgm:txLinClrLst/>
    <dgm:txFillClrLst meth="repeat">
      <a:schemeClr val="tx1"/>
    </dgm:txFillClrLst>
    <dgm:txEffectClrLst/>
  </dgm:styleLbl>
  <dgm:styleLbl name="parChTrans1D3">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parChTrans1D4">
    <dgm:fillClrLst meth="repeat">
      <a:schemeClr val="accent4"/>
    </dgm:fillClrLst>
    <dgm:linClrLst meth="repeat">
      <a:schemeClr val="accent4">
        <a:shade val="80000"/>
      </a:schemeClr>
    </dgm:linClrLst>
    <dgm:effectClrLst/>
    <dgm:txLinClrLst/>
    <dgm:txFillClrLst meth="repeat">
      <a:schemeClr val="tx1"/>
    </dgm:txFillClrLst>
    <dgm:txEffectClrLst/>
  </dgm:styleLbl>
  <dgm:styleLbl name="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conF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align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trAlignAcc1">
    <dgm:fillClrLst meth="repeat">
      <a:schemeClr val="accent4">
        <a:alpha val="40000"/>
        <a:tint val="40000"/>
      </a:schemeClr>
    </dgm:fillClrLst>
    <dgm:linClrLst meth="repeat">
      <a:schemeClr val="accent4"/>
    </dgm:linClrLst>
    <dgm:effectClrLst/>
    <dgm:txLinClrLst/>
    <dgm:txFillClrLst meth="repeat">
      <a:schemeClr val="dk1"/>
    </dgm:txFillClrLst>
    <dgm:txEffectClrLst/>
  </dgm:styleLbl>
  <dgm:styleLbl name="bgAcc1">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solidFgAcc1">
    <dgm:fillClrLst meth="repeat">
      <a:schemeClr val="lt1"/>
    </dgm:fillClrLst>
    <dgm:linClrLst meth="repeat">
      <a:schemeClr val="accent4"/>
    </dgm:linClrLst>
    <dgm:effectClrLst/>
    <dgm:txLinClrLst/>
    <dgm:txFillClrLst meth="repeat">
      <a:schemeClr val="dk1"/>
    </dgm:txFillClrLst>
    <dgm:txEffectClrLst/>
  </dgm:styleLbl>
  <dgm:styleLbl name="solidAlignAcc1">
    <dgm:fillClrLst meth="repeat">
      <a:schemeClr val="lt1"/>
    </dgm:fillClrLst>
    <dgm:linClrLst meth="repeat">
      <a:schemeClr val="accent4"/>
    </dgm:linClrLst>
    <dgm:effectClrLst/>
    <dgm:txLinClrLst/>
    <dgm:txFillClrLst meth="repeat">
      <a:schemeClr val="dk1"/>
    </dgm:txFillClrLst>
    <dgm:txEffectClrLst/>
  </dgm:styleLbl>
  <dgm:styleLbl name="solidBgAcc1">
    <dgm:fillClrLst meth="repeat">
      <a:schemeClr val="lt1"/>
    </dgm:fillClrLst>
    <dgm:linClrLst meth="repeat">
      <a:schemeClr val="accent4"/>
    </dgm:linClrLst>
    <dgm:effectClrLst/>
    <dgm:txLinClrLst/>
    <dgm:txFillClrLst meth="repeat">
      <a:schemeClr val="dk1"/>
    </dgm:txFillClrLst>
    <dgm:txEffectClrLst/>
  </dgm:styleLbl>
  <dgm:styleLbl name="f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align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bgAccFollowNode1">
    <dgm:fillClrLst meth="repeat">
      <a:schemeClr val="lt1">
        <a:alpha val="90000"/>
        <a:tint val="40000"/>
      </a:schemeClr>
    </dgm:fillClrLst>
    <dgm:linClrLst meth="repeat">
      <a:schemeClr val="accent4">
        <a:alpha val="90000"/>
      </a:schemeClr>
    </dgm:linClrLst>
    <dgm:effectClrLst/>
    <dgm:txLinClrLst/>
    <dgm:txFillClrLst meth="repeat">
      <a:schemeClr val="dk1"/>
    </dgm:txFillClrLst>
    <dgm:txEffectClrLst/>
  </dgm:styleLbl>
  <dgm:styleLbl name="fgAcc0">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2">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3">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fgAcc4">
    <dgm:fillClrLst meth="repeat">
      <a:schemeClr val="accent4">
        <a:alpha val="90000"/>
        <a:tint val="40000"/>
      </a:schemeClr>
    </dgm:fillClrLst>
    <dgm:linClrLst meth="repeat">
      <a:schemeClr val="accent4"/>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accent4"/>
    </dgm:linClrLst>
    <dgm:effectClrLst/>
    <dgm:txLinClrLst/>
    <dgm:txFillClrLst meth="repeat">
      <a:schemeClr val="dk1"/>
    </dgm:txFillClrLst>
    <dgm:txEffectClrLst/>
  </dgm:styleLbl>
  <dgm:styleLbl name="dkBgShp">
    <dgm:fillClrLst meth="repeat">
      <a:schemeClr val="accent4">
        <a:shade val="80000"/>
      </a:schemeClr>
    </dgm:fillClrLst>
    <dgm:linClrLst meth="repeat">
      <a:schemeClr val="accent4"/>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8.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9.xml><?xml version="1.0" encoding="utf-8"?>
<dgm:colorsDef xmlns:dgm="http://schemas.openxmlformats.org/drawingml/2006/diagram" xmlns:a="http://schemas.openxmlformats.org/drawingml/2006/main" uniqueId="urn:microsoft.com/office/officeart/2005/8/colors/accent2_2">
  <dgm:title val=""/>
  <dgm:desc val=""/>
  <dgm:catLst>
    <dgm:cat type="accent2" pri="11200"/>
  </dgm:catLst>
  <dgm:styleLbl name="node0">
    <dgm:fillClrLst meth="repeat">
      <a:schemeClr val="accent2"/>
    </dgm:fillClrLst>
    <dgm:linClrLst meth="repeat">
      <a:schemeClr val="lt1"/>
    </dgm:linClrLst>
    <dgm:effectClrLst/>
    <dgm:txLinClrLst/>
    <dgm:txFillClrLst/>
    <dgm:txEffectClrLst/>
  </dgm:styleLbl>
  <dgm:styleLbl name="node1">
    <dgm:fillClrLst meth="repeat">
      <a:schemeClr val="accent2"/>
    </dgm:fillClrLst>
    <dgm:linClrLst meth="repeat">
      <a:schemeClr val="lt1"/>
    </dgm:linClrLst>
    <dgm:effectClrLst/>
    <dgm:txLinClrLst/>
    <dgm:txFillClrLst/>
    <dgm:txEffectClrLst/>
  </dgm:styleLbl>
  <dgm:styleLbl name="alignNode1">
    <dgm:fillClrLst meth="repeat">
      <a:schemeClr val="accent2"/>
    </dgm:fillClrLst>
    <dgm:linClrLst meth="repeat">
      <a:schemeClr val="accent2"/>
    </dgm:linClrLst>
    <dgm:effectClrLst/>
    <dgm:txLinClrLst/>
    <dgm:txFillClrLst/>
    <dgm:txEffectClrLst/>
  </dgm:styleLbl>
  <dgm:styleLbl name="lnNode1">
    <dgm:fillClrLst meth="repeat">
      <a:schemeClr val="accent2"/>
    </dgm:fillClrLst>
    <dgm:linClrLst meth="repeat">
      <a:schemeClr val="lt1"/>
    </dgm:linClrLst>
    <dgm:effectClrLst/>
    <dgm:txLinClrLst/>
    <dgm:txFillClrLst/>
    <dgm:txEffectClrLst/>
  </dgm:styleLbl>
  <dgm:styleLbl name="vennNode1">
    <dgm:fillClrLst meth="repeat">
      <a:schemeClr val="accent2">
        <a:alpha val="50000"/>
      </a:schemeClr>
    </dgm:fillClrLst>
    <dgm:linClrLst meth="repeat">
      <a:schemeClr val="lt1"/>
    </dgm:linClrLst>
    <dgm:effectClrLst/>
    <dgm:txLinClrLst/>
    <dgm:txFillClrLst/>
    <dgm:txEffectClrLst/>
  </dgm:styleLbl>
  <dgm:styleLbl name="node2">
    <dgm:fillClrLst meth="repeat">
      <a:schemeClr val="accent2"/>
    </dgm:fillClrLst>
    <dgm:linClrLst meth="repeat">
      <a:schemeClr val="lt1"/>
    </dgm:linClrLst>
    <dgm:effectClrLst/>
    <dgm:txLinClrLst/>
    <dgm:txFillClrLst/>
    <dgm:txEffectClrLst/>
  </dgm:styleLbl>
  <dgm:styleLbl name="node3">
    <dgm:fillClrLst meth="repeat">
      <a:schemeClr val="accent2"/>
    </dgm:fillClrLst>
    <dgm:linClrLst meth="repeat">
      <a:schemeClr val="lt1"/>
    </dgm:linClrLst>
    <dgm:effectClrLst/>
    <dgm:txLinClrLst/>
    <dgm:txFillClrLst/>
    <dgm:txEffectClrLst/>
  </dgm:styleLbl>
  <dgm:styleLbl name="node4">
    <dgm:fillClrLst meth="repeat">
      <a:schemeClr val="accent2"/>
    </dgm:fillClrLst>
    <dgm:linClrLst meth="repeat">
      <a:schemeClr val="lt1"/>
    </dgm:linClrLst>
    <dgm:effectClrLst/>
    <dgm:txLinClrLst/>
    <dgm:txFillClrLst/>
    <dgm:txEffectClrLst/>
  </dgm:styleLbl>
  <dgm:styleLbl name="fgImgPlace1">
    <dgm:fillClrLst meth="repeat">
      <a:schemeClr val="accent2">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2">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2">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2">
        <a:tint val="60000"/>
      </a:schemeClr>
    </dgm:fillClrLst>
    <dgm:linClrLst meth="repeat">
      <a:schemeClr val="accent2">
        <a:tint val="60000"/>
      </a:schemeClr>
    </dgm:linClrLst>
    <dgm:effectClrLst/>
    <dgm:txLinClrLst/>
    <dgm:txFillClrLst/>
    <dgm:txEffectClrLst/>
  </dgm:styleLbl>
  <dgm:styleLbl name="fgSibTrans2D1">
    <dgm:fillClrLst meth="repeat">
      <a:schemeClr val="accent2">
        <a:tint val="60000"/>
      </a:schemeClr>
    </dgm:fillClrLst>
    <dgm:linClrLst meth="repeat">
      <a:schemeClr val="accent2">
        <a:tint val="60000"/>
      </a:schemeClr>
    </dgm:linClrLst>
    <dgm:effectClrLst/>
    <dgm:txLinClrLst/>
    <dgm:txFillClrLst/>
    <dgm:txEffectClrLst/>
  </dgm:styleLbl>
  <dgm:styleLbl name="bgSibTrans2D1">
    <dgm:fillClrLst meth="repeat">
      <a:schemeClr val="accent2">
        <a:tint val="60000"/>
      </a:schemeClr>
    </dgm:fillClrLst>
    <dgm:linClrLst meth="repeat">
      <a:schemeClr val="accent2">
        <a:tint val="60000"/>
      </a:schemeClr>
    </dgm:linClrLst>
    <dgm:effectClrLst/>
    <dgm:txLinClrLst/>
    <dgm:txFillClrLst/>
    <dgm:txEffectClrLst/>
  </dgm:styleLbl>
  <dgm:styleLbl name="sibTrans1D1">
    <dgm:fillClrLst meth="repeat">
      <a:schemeClr val="accent2"/>
    </dgm:fillClrLst>
    <dgm:linClrLst meth="repeat">
      <a:schemeClr val="accent2"/>
    </dgm:linClrLst>
    <dgm:effectClrLst/>
    <dgm:txLinClrLst/>
    <dgm:txFillClrLst meth="repeat">
      <a:schemeClr val="tx1"/>
    </dgm:txFillClrLst>
    <dgm:txEffectClrLst/>
  </dgm:styleLbl>
  <dgm:styleLbl name="callout">
    <dgm:fillClrLst meth="repeat">
      <a:schemeClr val="accent2"/>
    </dgm:fillClrLst>
    <dgm:linClrLst meth="repeat">
      <a:schemeClr val="accent2">
        <a:tint val="50000"/>
      </a:schemeClr>
    </dgm:linClrLst>
    <dgm:effectClrLst/>
    <dgm:txLinClrLst/>
    <dgm:txFillClrLst meth="repeat">
      <a:schemeClr val="tx1"/>
    </dgm:txFillClrLst>
    <dgm:txEffectClrLst/>
  </dgm:styleLbl>
  <dgm:styleLbl name="asst0">
    <dgm:fillClrLst meth="repeat">
      <a:schemeClr val="accent2"/>
    </dgm:fillClrLst>
    <dgm:linClrLst meth="repeat">
      <a:schemeClr val="lt1"/>
    </dgm:linClrLst>
    <dgm:effectClrLst/>
    <dgm:txLinClrLst/>
    <dgm:txFillClrLst/>
    <dgm:txEffectClrLst/>
  </dgm:styleLbl>
  <dgm:styleLbl name="asst1">
    <dgm:fillClrLst meth="repeat">
      <a:schemeClr val="accent2"/>
    </dgm:fillClrLst>
    <dgm:linClrLst meth="repeat">
      <a:schemeClr val="lt1"/>
    </dgm:linClrLst>
    <dgm:effectClrLst/>
    <dgm:txLinClrLst/>
    <dgm:txFillClrLst/>
    <dgm:txEffectClrLst/>
  </dgm:styleLbl>
  <dgm:styleLbl name="asst2">
    <dgm:fillClrLst meth="repeat">
      <a:schemeClr val="accent2"/>
    </dgm:fillClrLst>
    <dgm:linClrLst meth="repeat">
      <a:schemeClr val="lt1"/>
    </dgm:linClrLst>
    <dgm:effectClrLst/>
    <dgm:txLinClrLst/>
    <dgm:txFillClrLst/>
    <dgm:txEffectClrLst/>
  </dgm:styleLbl>
  <dgm:styleLbl name="asst3">
    <dgm:fillClrLst meth="repeat">
      <a:schemeClr val="accent2"/>
    </dgm:fillClrLst>
    <dgm:linClrLst meth="repeat">
      <a:schemeClr val="lt1"/>
    </dgm:linClrLst>
    <dgm:effectClrLst/>
    <dgm:txLinClrLst/>
    <dgm:txFillClrLst/>
    <dgm:txEffectClrLst/>
  </dgm:styleLbl>
  <dgm:styleLbl name="asst4">
    <dgm:fillClrLst meth="repeat">
      <a:schemeClr val="accent2"/>
    </dgm:fillClrLst>
    <dgm:linClrLst meth="repeat">
      <a:schemeClr val="lt1"/>
    </dgm:linClrLst>
    <dgm:effectClrLst/>
    <dgm:txLinClrLst/>
    <dgm:txFillClrLst/>
    <dgm:txEffectClrLst/>
  </dgm:styleLbl>
  <dgm:styleLbl name="parChTrans2D1">
    <dgm:fillClrLst meth="repeat">
      <a:schemeClr val="accent2">
        <a:tint val="60000"/>
      </a:schemeClr>
    </dgm:fillClrLst>
    <dgm:linClrLst meth="repeat">
      <a:schemeClr val="accent2">
        <a:tint val="60000"/>
      </a:schemeClr>
    </dgm:linClrLst>
    <dgm:effectClrLst/>
    <dgm:txLinClrLst/>
    <dgm:txFillClrLst meth="repeat">
      <a:schemeClr val="lt1"/>
    </dgm:txFillClrLst>
    <dgm:txEffectClrLst/>
  </dgm:styleLbl>
  <dgm:styleLbl name="parChTrans2D2">
    <dgm:fillClrLst meth="repeat">
      <a:schemeClr val="accent2"/>
    </dgm:fillClrLst>
    <dgm:linClrLst meth="repeat">
      <a:schemeClr val="accent2"/>
    </dgm:linClrLst>
    <dgm:effectClrLst/>
    <dgm:txLinClrLst/>
    <dgm:txFillClrLst meth="repeat">
      <a:schemeClr val="lt1"/>
    </dgm:txFillClrLst>
    <dgm:txEffectClrLst/>
  </dgm:styleLbl>
  <dgm:styleLbl name="parChTrans2D3">
    <dgm:fillClrLst meth="repeat">
      <a:schemeClr val="accent2"/>
    </dgm:fillClrLst>
    <dgm:linClrLst meth="repeat">
      <a:schemeClr val="accent2"/>
    </dgm:linClrLst>
    <dgm:effectClrLst/>
    <dgm:txLinClrLst/>
    <dgm:txFillClrLst meth="repeat">
      <a:schemeClr val="lt1"/>
    </dgm:txFillClrLst>
    <dgm:txEffectClrLst/>
  </dgm:styleLbl>
  <dgm:styleLbl name="parChTrans2D4">
    <dgm:fillClrLst meth="repeat">
      <a:schemeClr val="accent2"/>
    </dgm:fillClrLst>
    <dgm:linClrLst meth="repeat">
      <a:schemeClr val="accent2"/>
    </dgm:linClrLst>
    <dgm:effectClrLst/>
    <dgm:txLinClrLst/>
    <dgm:txFillClrLst meth="repeat">
      <a:schemeClr val="lt1"/>
    </dgm:txFillClrLst>
    <dgm:txEffectClrLst/>
  </dgm:styleLbl>
  <dgm:styleLbl name="parChTrans1D1">
    <dgm:fillClrLst meth="repeat">
      <a:schemeClr val="accent2"/>
    </dgm:fillClrLst>
    <dgm:linClrLst meth="repeat">
      <a:schemeClr val="accent2">
        <a:shade val="60000"/>
      </a:schemeClr>
    </dgm:linClrLst>
    <dgm:effectClrLst/>
    <dgm:txLinClrLst/>
    <dgm:txFillClrLst meth="repeat">
      <a:schemeClr val="tx1"/>
    </dgm:txFillClrLst>
    <dgm:txEffectClrLst/>
  </dgm:styleLbl>
  <dgm:styleLbl name="parChTrans1D2">
    <dgm:fillClrLst meth="repeat">
      <a:schemeClr val="accent2"/>
    </dgm:fillClrLst>
    <dgm:linClrLst meth="repeat">
      <a:schemeClr val="accent2">
        <a:shade val="60000"/>
      </a:schemeClr>
    </dgm:linClrLst>
    <dgm:effectClrLst/>
    <dgm:txLinClrLst/>
    <dgm:txFillClrLst meth="repeat">
      <a:schemeClr val="tx1"/>
    </dgm:txFillClrLst>
    <dgm:txEffectClrLst/>
  </dgm:styleLbl>
  <dgm:styleLbl name="parChTrans1D3">
    <dgm:fillClrLst meth="repeat">
      <a:schemeClr val="accent2"/>
    </dgm:fillClrLst>
    <dgm:linClrLst meth="repeat">
      <a:schemeClr val="accent2">
        <a:shade val="80000"/>
      </a:schemeClr>
    </dgm:linClrLst>
    <dgm:effectClrLst/>
    <dgm:txLinClrLst/>
    <dgm:txFillClrLst meth="repeat">
      <a:schemeClr val="tx1"/>
    </dgm:txFillClrLst>
    <dgm:txEffectClrLst/>
  </dgm:styleLbl>
  <dgm:styleLbl name="parChTrans1D4">
    <dgm:fillClrLst meth="repeat">
      <a:schemeClr val="accent2"/>
    </dgm:fillClrLst>
    <dgm:linClrLst meth="repeat">
      <a:schemeClr val="accent2">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2"/>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2"/>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2"/>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2"/>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2"/>
    </dgm:linClrLst>
    <dgm:effectClrLst/>
    <dgm:txLinClrLst/>
    <dgm:txFillClrLst meth="repeat">
      <a:schemeClr val="dk1"/>
    </dgm:txFillClrLst>
    <dgm:txEffectClrLst/>
  </dgm:styleLbl>
  <dgm:styleLbl name="solidFgAcc1">
    <dgm:fillClrLst meth="repeat">
      <a:schemeClr val="lt1"/>
    </dgm:fillClrLst>
    <dgm:linClrLst meth="repeat">
      <a:schemeClr val="accent2"/>
    </dgm:linClrLst>
    <dgm:effectClrLst/>
    <dgm:txLinClrLst/>
    <dgm:txFillClrLst meth="repeat">
      <a:schemeClr val="dk1"/>
    </dgm:txFillClrLst>
    <dgm:txEffectClrLst/>
  </dgm:styleLbl>
  <dgm:styleLbl name="solidAlignAcc1">
    <dgm:fillClrLst meth="repeat">
      <a:schemeClr val="lt1"/>
    </dgm:fillClrLst>
    <dgm:linClrLst meth="repeat">
      <a:schemeClr val="accent2"/>
    </dgm:linClrLst>
    <dgm:effectClrLst/>
    <dgm:txLinClrLst/>
    <dgm:txFillClrLst meth="repeat">
      <a:schemeClr val="dk1"/>
    </dgm:txFillClrLst>
    <dgm:txEffectClrLst/>
  </dgm:styleLbl>
  <dgm:styleLbl name="solidBgAcc1">
    <dgm:fillClrLst meth="repeat">
      <a:schemeClr val="lt1"/>
    </dgm:fillClrLst>
    <dgm:linClrLst meth="repeat">
      <a:schemeClr val="accent2"/>
    </dgm:linClrLst>
    <dgm:effectClrLst/>
    <dgm:txLinClrLst/>
    <dgm:txFillClrLst meth="repeat">
      <a:schemeClr val="dk1"/>
    </dgm:txFillClrLst>
    <dgm:txEffectClrLst/>
  </dgm:styleLbl>
  <dgm:styleLbl name="fgAccFollowNode1">
    <dgm:fillClrLst meth="repeat">
      <a:schemeClr val="accent2">
        <a:alpha val="90000"/>
        <a:tint val="40000"/>
      </a:schemeClr>
    </dgm:fillClrLst>
    <dgm:linClrLst meth="repeat">
      <a:schemeClr val="accent2">
        <a:alpha val="90000"/>
        <a:tint val="40000"/>
      </a:schemeClr>
    </dgm:linClrLst>
    <dgm:effectClrLst/>
    <dgm:txLinClrLst/>
    <dgm:txFillClrLst meth="repeat">
      <a:schemeClr val="dk1"/>
    </dgm:txFillClrLst>
    <dgm:txEffectClrLst/>
  </dgm:styleLbl>
  <dgm:styleLbl name="alignAccFollowNode1">
    <dgm:fillClrLst meth="repeat">
      <a:schemeClr val="accent2">
        <a:alpha val="90000"/>
        <a:tint val="40000"/>
      </a:schemeClr>
    </dgm:fillClrLst>
    <dgm:linClrLst meth="repeat">
      <a:schemeClr val="accent2">
        <a:alpha val="90000"/>
        <a:tint val="40000"/>
      </a:schemeClr>
    </dgm:linClrLst>
    <dgm:effectClrLst/>
    <dgm:txLinClrLst/>
    <dgm:txFillClrLst meth="repeat">
      <a:schemeClr val="dk1"/>
    </dgm:txFillClrLst>
    <dgm:txEffectClrLst/>
  </dgm:styleLbl>
  <dgm:styleLbl name="bgAccFollowNode1">
    <dgm:fillClrLst meth="repeat">
      <a:schemeClr val="accent2">
        <a:alpha val="90000"/>
        <a:tint val="40000"/>
      </a:schemeClr>
    </dgm:fillClrLst>
    <dgm:linClrLst meth="repeat">
      <a:schemeClr val="accent2">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2"/>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2"/>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2"/>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2"/>
    </dgm:linClrLst>
    <dgm:effectClrLst/>
    <dgm:txLinClrLst/>
    <dgm:txFillClrLst meth="repeat">
      <a:schemeClr val="dk1"/>
    </dgm:txFillClrLst>
    <dgm:txEffectClrLst/>
  </dgm:styleLbl>
  <dgm:styleLbl name="bgShp">
    <dgm:fillClrLst meth="repeat">
      <a:schemeClr val="accent2">
        <a:tint val="40000"/>
      </a:schemeClr>
    </dgm:fillClrLst>
    <dgm:linClrLst meth="repeat">
      <a:schemeClr val="accent2"/>
    </dgm:linClrLst>
    <dgm:effectClrLst/>
    <dgm:txLinClrLst/>
    <dgm:txFillClrLst meth="repeat">
      <a:schemeClr val="dk1"/>
    </dgm:txFillClrLst>
    <dgm:txEffectClrLst/>
  </dgm:styleLbl>
  <dgm:styleLbl name="dkBgShp">
    <dgm:fillClrLst meth="repeat">
      <a:schemeClr val="accent2">
        <a:shade val="80000"/>
      </a:schemeClr>
    </dgm:fillClrLst>
    <dgm:linClrLst meth="repeat">
      <a:schemeClr val="accent2"/>
    </dgm:linClrLst>
    <dgm:effectClrLst/>
    <dgm:txLinClrLst/>
    <dgm:txFillClrLst meth="repeat">
      <a:schemeClr val="lt1"/>
    </dgm:txFillClrLst>
    <dgm:txEffectClrLst/>
  </dgm:styleLbl>
  <dgm:styleLbl name="trBgShp">
    <dgm:fillClrLst meth="repeat">
      <a:schemeClr val="accent2">
        <a:tint val="50000"/>
        <a:alpha val="40000"/>
      </a:schemeClr>
    </dgm:fillClrLst>
    <dgm:linClrLst meth="repeat">
      <a:schemeClr val="accent2"/>
    </dgm:linClrLst>
    <dgm:effectClrLst/>
    <dgm:txLinClrLst/>
    <dgm:txFillClrLst meth="repeat">
      <a:schemeClr val="lt1"/>
    </dgm:txFillClrLst>
    <dgm:txEffectClrLst/>
  </dgm:styleLbl>
  <dgm:styleLbl name="fgShp">
    <dgm:fillClrLst meth="repeat">
      <a:schemeClr val="accent2">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C8C1CB6A-F260-4567-B785-4DF19608FE69}" type="doc">
      <dgm:prSet loTypeId="urn:microsoft.com/office/officeart/2008/layout/IncreasingCircleProcess" loCatId="list" qsTypeId="urn:microsoft.com/office/officeart/2005/8/quickstyle/simple1" qsCatId="simple" csTypeId="urn:microsoft.com/office/officeart/2005/8/colors/accent4_1" csCatId="accent4" phldr="1"/>
      <dgm:spPr/>
      <dgm:t>
        <a:bodyPr/>
        <a:lstStyle/>
        <a:p>
          <a:endParaRPr lang="en-AU"/>
        </a:p>
      </dgm:t>
    </dgm:pt>
    <dgm:pt modelId="{6A6B7227-27B9-47E5-84AA-C5A92DE7B52D}">
      <dgm:prSet phldrT="[Text]" custT="1"/>
      <dgm:spPr/>
      <dgm:t>
        <a:bodyPr/>
        <a:lstStyle/>
        <a:p>
          <a:r>
            <a:rPr lang="en-AU" sz="2800"/>
            <a:t>Availability</a:t>
          </a:r>
        </a:p>
      </dgm:t>
    </dgm:pt>
    <dgm:pt modelId="{FD70CC8D-A7B8-4696-8670-12BC573769AE}" type="parTrans" cxnId="{35A870DC-90F4-4CBC-915D-8F433289F803}">
      <dgm:prSet/>
      <dgm:spPr/>
      <dgm:t>
        <a:bodyPr/>
        <a:lstStyle/>
        <a:p>
          <a:endParaRPr lang="en-AU"/>
        </a:p>
      </dgm:t>
    </dgm:pt>
    <dgm:pt modelId="{13A54D5D-4B11-4C9F-AE64-7837221FCD81}" type="sibTrans" cxnId="{35A870DC-90F4-4CBC-915D-8F433289F803}">
      <dgm:prSet/>
      <dgm:spPr/>
      <dgm:t>
        <a:bodyPr/>
        <a:lstStyle/>
        <a:p>
          <a:endParaRPr lang="en-AU"/>
        </a:p>
      </dgm:t>
    </dgm:pt>
    <dgm:pt modelId="{85D929F8-AB48-4613-816E-4699A45F5079}">
      <dgm:prSet phldrT="[Text]"/>
      <dgm:spPr/>
      <dgm:t>
        <a:bodyPr/>
        <a:lstStyle/>
        <a:p>
          <a:r>
            <a:rPr lang="en-AU" u="sng"/>
            <a:t>Tier 1-4 Applications</a:t>
          </a:r>
        </a:p>
      </dgm:t>
    </dgm:pt>
    <dgm:pt modelId="{33A0D56D-0BEA-44CD-80A6-9FDC69E5DB86}" type="parTrans" cxnId="{4A08EB63-EDD0-4993-B582-B40B16D42286}">
      <dgm:prSet/>
      <dgm:spPr/>
      <dgm:t>
        <a:bodyPr/>
        <a:lstStyle/>
        <a:p>
          <a:endParaRPr lang="en-AU"/>
        </a:p>
      </dgm:t>
    </dgm:pt>
    <dgm:pt modelId="{C2434A47-0DFC-4305-8C95-E8FBEB0502DE}" type="sibTrans" cxnId="{4A08EB63-EDD0-4993-B582-B40B16D42286}">
      <dgm:prSet/>
      <dgm:spPr/>
      <dgm:t>
        <a:bodyPr/>
        <a:lstStyle/>
        <a:p>
          <a:endParaRPr lang="en-AU"/>
        </a:p>
      </dgm:t>
    </dgm:pt>
    <dgm:pt modelId="{805C349B-D31D-4462-9E0C-F4AC95E5D5C1}">
      <dgm:prSet phldrT="[Text]" custT="1"/>
      <dgm:spPr/>
      <dgm:t>
        <a:bodyPr/>
        <a:lstStyle/>
        <a:p>
          <a:r>
            <a:rPr lang="en-AU" sz="2800"/>
            <a:t>Recovery</a:t>
          </a:r>
        </a:p>
      </dgm:t>
    </dgm:pt>
    <dgm:pt modelId="{813F9BBC-6449-459C-BBE7-CF941388120E}" type="parTrans" cxnId="{29E6F8B5-1B27-42B0-9740-70BF419C0F47}">
      <dgm:prSet/>
      <dgm:spPr/>
      <dgm:t>
        <a:bodyPr/>
        <a:lstStyle/>
        <a:p>
          <a:endParaRPr lang="en-AU"/>
        </a:p>
      </dgm:t>
    </dgm:pt>
    <dgm:pt modelId="{C6992414-28DB-4CBE-8E4D-40854564ECF6}" type="sibTrans" cxnId="{29E6F8B5-1B27-42B0-9740-70BF419C0F47}">
      <dgm:prSet/>
      <dgm:spPr/>
      <dgm:t>
        <a:bodyPr/>
        <a:lstStyle/>
        <a:p>
          <a:endParaRPr lang="en-AU"/>
        </a:p>
      </dgm:t>
    </dgm:pt>
    <dgm:pt modelId="{869DB8B3-2635-44F7-A7A5-8E3EDFE113AC}">
      <dgm:prSet phldrT="[Text]"/>
      <dgm:spPr/>
      <dgm:t>
        <a:bodyPr/>
        <a:lstStyle/>
        <a:p>
          <a:r>
            <a:rPr lang="en-AU" u="sng"/>
            <a:t>Tier 1-4 Applications</a:t>
          </a:r>
        </a:p>
      </dgm:t>
    </dgm:pt>
    <dgm:pt modelId="{85CFD57E-78EC-4BB5-8ED0-BA47B11F1ED8}" type="parTrans" cxnId="{4719A3AA-28F6-4C75-9914-5BC6E8ED61FF}">
      <dgm:prSet/>
      <dgm:spPr/>
      <dgm:t>
        <a:bodyPr/>
        <a:lstStyle/>
        <a:p>
          <a:endParaRPr lang="en-AU"/>
        </a:p>
      </dgm:t>
    </dgm:pt>
    <dgm:pt modelId="{46143C60-359E-4F2E-BF84-5888478D9583}" type="sibTrans" cxnId="{4719A3AA-28F6-4C75-9914-5BC6E8ED61FF}">
      <dgm:prSet/>
      <dgm:spPr/>
      <dgm:t>
        <a:bodyPr/>
        <a:lstStyle/>
        <a:p>
          <a:endParaRPr lang="en-AU"/>
        </a:p>
      </dgm:t>
    </dgm:pt>
    <dgm:pt modelId="{FB756C36-A832-4216-85D2-E556599268CF}">
      <dgm:prSet phldrT="[Text]"/>
      <dgm:spPr/>
      <dgm:t>
        <a:bodyPr/>
        <a:lstStyle/>
        <a:p>
          <a:r>
            <a:rPr lang="en-AU"/>
            <a:t>Access VMs directly via RDP/SSH over private networks as an alternative to Azure Bastion</a:t>
          </a:r>
          <a:r>
            <a:rPr lang="en-AU" baseline="30000"/>
            <a:t>4</a:t>
          </a:r>
          <a:r>
            <a:rPr lang="en-AU"/>
            <a:t>. Use Defender for Cloud Just-in-time VM access to protect your VMs.</a:t>
          </a:r>
        </a:p>
      </dgm:t>
    </dgm:pt>
    <dgm:pt modelId="{4F6A2403-B987-4E45-AB1B-4172C2DC99FB}" type="parTrans" cxnId="{2FD2C489-E10C-417D-A28E-C3AE5596ADF9}">
      <dgm:prSet/>
      <dgm:spPr/>
      <dgm:t>
        <a:bodyPr/>
        <a:lstStyle/>
        <a:p>
          <a:endParaRPr lang="en-AU"/>
        </a:p>
      </dgm:t>
    </dgm:pt>
    <dgm:pt modelId="{0E4B09CE-6E0E-40B1-81B1-88911F35071A}" type="sibTrans" cxnId="{2FD2C489-E10C-417D-A28E-C3AE5596ADF9}">
      <dgm:prSet/>
      <dgm:spPr/>
      <dgm:t>
        <a:bodyPr/>
        <a:lstStyle/>
        <a:p>
          <a:endParaRPr lang="en-AU"/>
        </a:p>
      </dgm:t>
    </dgm:pt>
    <dgm:pt modelId="{633EAE5E-C517-4642-AFCF-65069856511B}">
      <dgm:prSet phldrT="[Text]"/>
      <dgm:spPr/>
      <dgm:t>
        <a:bodyPr/>
        <a:lstStyle/>
        <a:p>
          <a:r>
            <a:rPr lang="en-AU"/>
            <a:t>Deploy Azure Bastion into multiple VNets.</a:t>
          </a:r>
        </a:p>
      </dgm:t>
    </dgm:pt>
    <dgm:pt modelId="{2F127EA0-560A-40A6-8E25-19EEF38C6AEB}" type="parTrans" cxnId="{9D987B25-D465-427E-8BD0-D32CF0A58714}">
      <dgm:prSet/>
      <dgm:spPr/>
      <dgm:t>
        <a:bodyPr/>
        <a:lstStyle/>
        <a:p>
          <a:endParaRPr lang="en-AU"/>
        </a:p>
      </dgm:t>
    </dgm:pt>
    <dgm:pt modelId="{DC9967CE-08C2-4C69-BF58-E7C53155CF77}" type="sibTrans" cxnId="{9D987B25-D465-427E-8BD0-D32CF0A58714}">
      <dgm:prSet/>
      <dgm:spPr/>
      <dgm:t>
        <a:bodyPr/>
        <a:lstStyle/>
        <a:p>
          <a:endParaRPr lang="en-AU"/>
        </a:p>
      </dgm:t>
    </dgm:pt>
    <dgm:pt modelId="{060E8244-5736-46AB-8498-0024B591246B}">
      <dgm:prSet phldrT="[Text]"/>
      <dgm:spPr/>
      <dgm:t>
        <a:bodyPr/>
        <a:lstStyle/>
        <a:p>
          <a:r>
            <a:rPr lang="en-AU"/>
            <a:t>Protect your Bastion host with Azure DDoS protection.</a:t>
          </a:r>
        </a:p>
      </dgm:t>
    </dgm:pt>
    <dgm:pt modelId="{8D4D94BA-95CB-46DF-9CB9-EACFE084F174}" type="parTrans" cxnId="{C3D07CFA-6EA5-4013-8D5B-2D0635991E13}">
      <dgm:prSet/>
      <dgm:spPr/>
      <dgm:t>
        <a:bodyPr/>
        <a:lstStyle/>
        <a:p>
          <a:endParaRPr lang="en-AU"/>
        </a:p>
      </dgm:t>
    </dgm:pt>
    <dgm:pt modelId="{F7917F51-09C0-479A-AE92-6120BCF9A862}" type="sibTrans" cxnId="{C3D07CFA-6EA5-4013-8D5B-2D0635991E13}">
      <dgm:prSet/>
      <dgm:spPr/>
      <dgm:t>
        <a:bodyPr/>
        <a:lstStyle/>
        <a:p>
          <a:endParaRPr lang="en-AU"/>
        </a:p>
      </dgm:t>
    </dgm:pt>
    <dgm:pt modelId="{AF70AC6E-A9F1-435E-859A-4B963AEC9BC3}">
      <dgm:prSet/>
      <dgm:spPr/>
      <dgm:t>
        <a:bodyPr/>
        <a:lstStyle/>
        <a:p>
          <a:r>
            <a:rPr lang="en-AU"/>
            <a:t>Use Azure Bastion Host Scaling (Standard SKU for Azure Bastion)</a:t>
          </a:r>
        </a:p>
      </dgm:t>
    </dgm:pt>
    <dgm:pt modelId="{3D0E9E31-FA2C-4B0E-86CC-FE44AF0EB60C}" type="parTrans" cxnId="{B2B30A35-4D82-47EE-AF53-BF28990C3015}">
      <dgm:prSet/>
      <dgm:spPr/>
      <dgm:t>
        <a:bodyPr/>
        <a:lstStyle/>
        <a:p>
          <a:endParaRPr lang="en-AU"/>
        </a:p>
      </dgm:t>
    </dgm:pt>
    <dgm:pt modelId="{1C81A432-64AF-417B-938F-68052D128170}" type="sibTrans" cxnId="{B2B30A35-4D82-47EE-AF53-BF28990C3015}">
      <dgm:prSet/>
      <dgm:spPr/>
      <dgm:t>
        <a:bodyPr/>
        <a:lstStyle/>
        <a:p>
          <a:endParaRPr lang="en-AU"/>
        </a:p>
      </dgm:t>
    </dgm:pt>
    <dgm:pt modelId="{1B7E2939-A687-4C64-A7CA-AE7290C2A333}">
      <dgm:prSet/>
      <dgm:spPr/>
      <dgm:t>
        <a:bodyPr/>
        <a:lstStyle/>
        <a:p>
          <a:r>
            <a:rPr lang="en-AU"/>
            <a:t>Assign multiple administrators with access and allow access from multiple locations.</a:t>
          </a:r>
        </a:p>
      </dgm:t>
    </dgm:pt>
    <dgm:pt modelId="{E1028E79-E5D7-4786-9BBD-224744513996}" type="parTrans" cxnId="{FB3081DC-B43B-4523-B882-8D63830A43AF}">
      <dgm:prSet/>
      <dgm:spPr/>
      <dgm:t>
        <a:bodyPr/>
        <a:lstStyle/>
        <a:p>
          <a:endParaRPr lang="en-AU"/>
        </a:p>
      </dgm:t>
    </dgm:pt>
    <dgm:pt modelId="{ACF3D0B3-1654-43E8-9940-5685E5ED4984}" type="sibTrans" cxnId="{FB3081DC-B43B-4523-B882-8D63830A43AF}">
      <dgm:prSet/>
      <dgm:spPr/>
      <dgm:t>
        <a:bodyPr/>
        <a:lstStyle/>
        <a:p>
          <a:endParaRPr lang="en-AU"/>
        </a:p>
      </dgm:t>
    </dgm:pt>
    <dgm:pt modelId="{BE28668A-175F-4F2F-A0BB-FA4C7F636F93}">
      <dgm:prSet/>
      <dgm:spPr/>
      <dgm:t>
        <a:bodyPr/>
        <a:lstStyle/>
        <a:p>
          <a:r>
            <a:rPr lang="en-AU"/>
            <a:t>Create emergency access accounts to prevent lockout.</a:t>
          </a:r>
        </a:p>
      </dgm:t>
    </dgm:pt>
    <dgm:pt modelId="{2F618C83-93EF-4E1E-A28F-A893A827DDF0}" type="parTrans" cxnId="{F546458C-DB33-4C22-A9DC-AA8CDA99A3FE}">
      <dgm:prSet/>
      <dgm:spPr/>
      <dgm:t>
        <a:bodyPr/>
        <a:lstStyle/>
        <a:p>
          <a:endParaRPr lang="en-AU"/>
        </a:p>
      </dgm:t>
    </dgm:pt>
    <dgm:pt modelId="{F3535DAD-BD06-4DC9-9D2D-3D0B186EEE68}" type="sibTrans" cxnId="{F546458C-DB33-4C22-A9DC-AA8CDA99A3FE}">
      <dgm:prSet/>
      <dgm:spPr/>
      <dgm:t>
        <a:bodyPr/>
        <a:lstStyle/>
        <a:p>
          <a:endParaRPr lang="en-AU"/>
        </a:p>
      </dgm:t>
    </dgm:pt>
    <dgm:pt modelId="{87417369-A24D-4EFD-BDE0-EDEDE8CD63E9}">
      <dgm:prSet/>
      <dgm:spPr/>
      <dgm:t>
        <a:bodyPr/>
        <a:lstStyle/>
        <a:p>
          <a:r>
            <a:rPr lang="en-AU"/>
            <a:t>Azure Bastion is deployed within VNets or peered VNets, and is associated to an Azure region. Deploy Azure Bastion to a DR site VNet. In the event of an Azure region failure, perform a failover operation for your VMs to the DR region. Then, use the Azure Bastion host that's deployed in the DR region to connect to the VMs that are now deployed there.</a:t>
          </a:r>
        </a:p>
      </dgm:t>
    </dgm:pt>
    <dgm:pt modelId="{186D258C-833D-4363-864C-1312C04394D5}" type="parTrans" cxnId="{D5E51C2E-6694-4C0E-BD9A-5F8703FA0FE5}">
      <dgm:prSet/>
      <dgm:spPr/>
      <dgm:t>
        <a:bodyPr/>
        <a:lstStyle/>
        <a:p>
          <a:endParaRPr lang="en-AU"/>
        </a:p>
      </dgm:t>
    </dgm:pt>
    <dgm:pt modelId="{63DB25B0-95FF-4FCB-9586-C53D4112E2C8}" type="sibTrans" cxnId="{D5E51C2E-6694-4C0E-BD9A-5F8703FA0FE5}">
      <dgm:prSet/>
      <dgm:spPr/>
      <dgm:t>
        <a:bodyPr/>
        <a:lstStyle/>
        <a:p>
          <a:endParaRPr lang="en-AU"/>
        </a:p>
      </dgm:t>
    </dgm:pt>
    <dgm:pt modelId="{D07EAC0B-6C72-4CC9-869C-960EB4C4301F}" type="pres">
      <dgm:prSet presAssocID="{C8C1CB6A-F260-4567-B785-4DF19608FE69}" presName="Name0" presStyleCnt="0">
        <dgm:presLayoutVars>
          <dgm:chMax val="7"/>
          <dgm:chPref val="7"/>
          <dgm:dir/>
          <dgm:animOne val="branch"/>
          <dgm:animLvl val="lvl"/>
        </dgm:presLayoutVars>
      </dgm:prSet>
      <dgm:spPr/>
    </dgm:pt>
    <dgm:pt modelId="{51CE16E3-D93D-4013-A50F-DEE79FAB06EF}" type="pres">
      <dgm:prSet presAssocID="{6A6B7227-27B9-47E5-84AA-C5A92DE7B52D}" presName="composite" presStyleCnt="0"/>
      <dgm:spPr/>
    </dgm:pt>
    <dgm:pt modelId="{411AC314-890B-473C-8F7B-00BBB4CA868D}" type="pres">
      <dgm:prSet presAssocID="{6A6B7227-27B9-47E5-84AA-C5A92DE7B52D}" presName="BackAccent" presStyleLbl="bgShp" presStyleIdx="0" presStyleCnt="2"/>
      <dgm:spPr/>
    </dgm:pt>
    <dgm:pt modelId="{2B55EE49-E545-4E5D-8CA7-758ABD8F1037}" type="pres">
      <dgm:prSet presAssocID="{6A6B7227-27B9-47E5-84AA-C5A92DE7B52D}" presName="Accent" presStyleLbl="alignNode1" presStyleIdx="0" presStyleCnt="2"/>
      <dgm:spPr/>
    </dgm:pt>
    <dgm:pt modelId="{AC6BF7C1-5ECF-4DCC-B3E1-4A5389193B8C}" type="pres">
      <dgm:prSet presAssocID="{6A6B7227-27B9-47E5-84AA-C5A92DE7B52D}" presName="Child" presStyleLbl="revTx" presStyleIdx="0" presStyleCnt="4">
        <dgm:presLayoutVars>
          <dgm:chMax val="0"/>
          <dgm:chPref val="0"/>
          <dgm:bulletEnabled val="1"/>
        </dgm:presLayoutVars>
      </dgm:prSet>
      <dgm:spPr/>
    </dgm:pt>
    <dgm:pt modelId="{1764240F-41F9-42D2-8804-52DE5D0083C8}" type="pres">
      <dgm:prSet presAssocID="{6A6B7227-27B9-47E5-84AA-C5A92DE7B52D}" presName="Parent" presStyleLbl="revTx" presStyleIdx="1" presStyleCnt="4">
        <dgm:presLayoutVars>
          <dgm:chMax val="1"/>
          <dgm:chPref val="1"/>
          <dgm:bulletEnabled val="1"/>
        </dgm:presLayoutVars>
      </dgm:prSet>
      <dgm:spPr/>
    </dgm:pt>
    <dgm:pt modelId="{B505E8B2-EC4C-4E81-B870-DBC1A7C58B2B}" type="pres">
      <dgm:prSet presAssocID="{13A54D5D-4B11-4C9F-AE64-7837221FCD81}" presName="sibTrans" presStyleCnt="0"/>
      <dgm:spPr/>
    </dgm:pt>
    <dgm:pt modelId="{4CFC864D-410A-4600-936B-C94DFDD89DA4}" type="pres">
      <dgm:prSet presAssocID="{805C349B-D31D-4462-9E0C-F4AC95E5D5C1}" presName="composite" presStyleCnt="0"/>
      <dgm:spPr/>
    </dgm:pt>
    <dgm:pt modelId="{AA183D94-36D7-4B75-9F87-F2DBC47193CB}" type="pres">
      <dgm:prSet presAssocID="{805C349B-D31D-4462-9E0C-F4AC95E5D5C1}" presName="BackAccent" presStyleLbl="bgShp" presStyleIdx="1" presStyleCnt="2"/>
      <dgm:spPr/>
    </dgm:pt>
    <dgm:pt modelId="{9EF24FDC-C911-45A7-90C1-FED8BAB1E0C4}" type="pres">
      <dgm:prSet presAssocID="{805C349B-D31D-4462-9E0C-F4AC95E5D5C1}" presName="Accent" presStyleLbl="alignNode1" presStyleIdx="1" presStyleCnt="2"/>
      <dgm:spPr/>
    </dgm:pt>
    <dgm:pt modelId="{E93D3830-C9FC-416D-967A-6905CA1C5D94}" type="pres">
      <dgm:prSet presAssocID="{805C349B-D31D-4462-9E0C-F4AC95E5D5C1}" presName="Child" presStyleLbl="revTx" presStyleIdx="2" presStyleCnt="4">
        <dgm:presLayoutVars>
          <dgm:chMax val="0"/>
          <dgm:chPref val="0"/>
          <dgm:bulletEnabled val="1"/>
        </dgm:presLayoutVars>
      </dgm:prSet>
      <dgm:spPr/>
    </dgm:pt>
    <dgm:pt modelId="{B6E2FDED-F034-4989-955A-6FD17C233760}" type="pres">
      <dgm:prSet presAssocID="{805C349B-D31D-4462-9E0C-F4AC95E5D5C1}" presName="Parent" presStyleLbl="revTx" presStyleIdx="3" presStyleCnt="4">
        <dgm:presLayoutVars>
          <dgm:chMax val="1"/>
          <dgm:chPref val="1"/>
          <dgm:bulletEnabled val="1"/>
        </dgm:presLayoutVars>
      </dgm:prSet>
      <dgm:spPr/>
    </dgm:pt>
  </dgm:ptLst>
  <dgm:cxnLst>
    <dgm:cxn modelId="{26280C1B-1259-48D8-BFD1-FEDF3F2DC903}" type="presOf" srcId="{633EAE5E-C517-4642-AFCF-65069856511B}" destId="{AC6BF7C1-5ECF-4DCC-B3E1-4A5389193B8C}" srcOrd="0" destOrd="2" presId="urn:microsoft.com/office/officeart/2008/layout/IncreasingCircleProcess"/>
    <dgm:cxn modelId="{9D987B25-D465-427E-8BD0-D32CF0A58714}" srcId="{869DB8B3-2635-44F7-A7A5-8E3EDFE113AC}" destId="{633EAE5E-C517-4642-AFCF-65069856511B}" srcOrd="1" destOrd="0" parTransId="{2F127EA0-560A-40A6-8E25-19EEF38C6AEB}" sibTransId="{DC9967CE-08C2-4C69-BF58-E7C53155CF77}"/>
    <dgm:cxn modelId="{D5E51C2E-6694-4C0E-BD9A-5F8703FA0FE5}" srcId="{85D929F8-AB48-4613-816E-4699A45F5079}" destId="{87417369-A24D-4EFD-BDE0-EDEDE8CD63E9}" srcOrd="0" destOrd="0" parTransId="{186D258C-833D-4363-864C-1312C04394D5}" sibTransId="{63DB25B0-95FF-4FCB-9586-C53D4112E2C8}"/>
    <dgm:cxn modelId="{B2B30A35-4D82-47EE-AF53-BF28990C3015}" srcId="{869DB8B3-2635-44F7-A7A5-8E3EDFE113AC}" destId="{AF70AC6E-A9F1-435E-859A-4B963AEC9BC3}" srcOrd="3" destOrd="0" parTransId="{3D0E9E31-FA2C-4B0E-86CC-FE44AF0EB60C}" sibTransId="{1C81A432-64AF-417B-938F-68052D128170}"/>
    <dgm:cxn modelId="{833F993F-4463-4202-9155-0CF8C8D7DF3A}" type="presOf" srcId="{85D929F8-AB48-4613-816E-4699A45F5079}" destId="{E93D3830-C9FC-416D-967A-6905CA1C5D94}" srcOrd="0" destOrd="0" presId="urn:microsoft.com/office/officeart/2008/layout/IncreasingCircleProcess"/>
    <dgm:cxn modelId="{4A08EB63-EDD0-4993-B582-B40B16D42286}" srcId="{805C349B-D31D-4462-9E0C-F4AC95E5D5C1}" destId="{85D929F8-AB48-4613-816E-4699A45F5079}" srcOrd="0" destOrd="0" parTransId="{33A0D56D-0BEA-44CD-80A6-9FDC69E5DB86}" sibTransId="{C2434A47-0DFC-4305-8C95-E8FBEB0502DE}"/>
    <dgm:cxn modelId="{43EB2E65-0D28-4F86-A082-55A3A2AE2AF2}" type="presOf" srcId="{060E8244-5736-46AB-8498-0024B591246B}" destId="{AC6BF7C1-5ECF-4DCC-B3E1-4A5389193B8C}" srcOrd="0" destOrd="3" presId="urn:microsoft.com/office/officeart/2008/layout/IncreasingCircleProcess"/>
    <dgm:cxn modelId="{C02BC170-229F-4235-923D-F35563B8DB6A}" type="presOf" srcId="{87417369-A24D-4EFD-BDE0-EDEDE8CD63E9}" destId="{E93D3830-C9FC-416D-967A-6905CA1C5D94}" srcOrd="0" destOrd="1" presId="urn:microsoft.com/office/officeart/2008/layout/IncreasingCircleProcess"/>
    <dgm:cxn modelId="{A2047753-1831-4B83-9918-9BFC48F6F0AB}" type="presOf" srcId="{FB756C36-A832-4216-85D2-E556599268CF}" destId="{AC6BF7C1-5ECF-4DCC-B3E1-4A5389193B8C}" srcOrd="0" destOrd="1" presId="urn:microsoft.com/office/officeart/2008/layout/IncreasingCircleProcess"/>
    <dgm:cxn modelId="{9BC18B84-4C34-4A1C-BAD7-7C1FD1B1D5D4}" type="presOf" srcId="{C8C1CB6A-F260-4567-B785-4DF19608FE69}" destId="{D07EAC0B-6C72-4CC9-869C-960EB4C4301F}" srcOrd="0" destOrd="0" presId="urn:microsoft.com/office/officeart/2008/layout/IncreasingCircleProcess"/>
    <dgm:cxn modelId="{2FD2C489-E10C-417D-A28E-C3AE5596ADF9}" srcId="{869DB8B3-2635-44F7-A7A5-8E3EDFE113AC}" destId="{FB756C36-A832-4216-85D2-E556599268CF}" srcOrd="0" destOrd="0" parTransId="{4F6A2403-B987-4E45-AB1B-4172C2DC99FB}" sibTransId="{0E4B09CE-6E0E-40B1-81B1-88911F35071A}"/>
    <dgm:cxn modelId="{F546458C-DB33-4C22-A9DC-AA8CDA99A3FE}" srcId="{869DB8B3-2635-44F7-A7A5-8E3EDFE113AC}" destId="{BE28668A-175F-4F2F-A0BB-FA4C7F636F93}" srcOrd="5" destOrd="0" parTransId="{2F618C83-93EF-4E1E-A28F-A893A827DDF0}" sibTransId="{F3535DAD-BD06-4DC9-9D2D-3D0B186EEE68}"/>
    <dgm:cxn modelId="{5440468E-570A-4C06-A396-70088F2955D8}" type="presOf" srcId="{805C349B-D31D-4462-9E0C-F4AC95E5D5C1}" destId="{B6E2FDED-F034-4989-955A-6FD17C233760}" srcOrd="0" destOrd="0" presId="urn:microsoft.com/office/officeart/2008/layout/IncreasingCircleProcess"/>
    <dgm:cxn modelId="{4CB6D49D-A5D1-4895-822C-978F453BE7AD}" type="presOf" srcId="{1B7E2939-A687-4C64-A7CA-AE7290C2A333}" destId="{AC6BF7C1-5ECF-4DCC-B3E1-4A5389193B8C}" srcOrd="0" destOrd="5" presId="urn:microsoft.com/office/officeart/2008/layout/IncreasingCircleProcess"/>
    <dgm:cxn modelId="{7C2F659F-053D-44C5-BB0B-CCAF999B62EB}" type="presOf" srcId="{BE28668A-175F-4F2F-A0BB-FA4C7F636F93}" destId="{AC6BF7C1-5ECF-4DCC-B3E1-4A5389193B8C}" srcOrd="0" destOrd="6" presId="urn:microsoft.com/office/officeart/2008/layout/IncreasingCircleProcess"/>
    <dgm:cxn modelId="{196513A1-6866-4681-ABC0-CB79F63962AD}" type="presOf" srcId="{6A6B7227-27B9-47E5-84AA-C5A92DE7B52D}" destId="{1764240F-41F9-42D2-8804-52DE5D0083C8}" srcOrd="0" destOrd="0" presId="urn:microsoft.com/office/officeart/2008/layout/IncreasingCircleProcess"/>
    <dgm:cxn modelId="{4719A3AA-28F6-4C75-9914-5BC6E8ED61FF}" srcId="{6A6B7227-27B9-47E5-84AA-C5A92DE7B52D}" destId="{869DB8B3-2635-44F7-A7A5-8E3EDFE113AC}" srcOrd="0" destOrd="0" parTransId="{85CFD57E-78EC-4BB5-8ED0-BA47B11F1ED8}" sibTransId="{46143C60-359E-4F2E-BF84-5888478D9583}"/>
    <dgm:cxn modelId="{29E6F8B5-1B27-42B0-9740-70BF419C0F47}" srcId="{C8C1CB6A-F260-4567-B785-4DF19608FE69}" destId="{805C349B-D31D-4462-9E0C-F4AC95E5D5C1}" srcOrd="1" destOrd="0" parTransId="{813F9BBC-6449-459C-BBE7-CF941388120E}" sibTransId="{C6992414-28DB-4CBE-8E4D-40854564ECF6}"/>
    <dgm:cxn modelId="{35A870DC-90F4-4CBC-915D-8F433289F803}" srcId="{C8C1CB6A-F260-4567-B785-4DF19608FE69}" destId="{6A6B7227-27B9-47E5-84AA-C5A92DE7B52D}" srcOrd="0" destOrd="0" parTransId="{FD70CC8D-A7B8-4696-8670-12BC573769AE}" sibTransId="{13A54D5D-4B11-4C9F-AE64-7837221FCD81}"/>
    <dgm:cxn modelId="{FB3081DC-B43B-4523-B882-8D63830A43AF}" srcId="{869DB8B3-2635-44F7-A7A5-8E3EDFE113AC}" destId="{1B7E2939-A687-4C64-A7CA-AE7290C2A333}" srcOrd="4" destOrd="0" parTransId="{E1028E79-E5D7-4786-9BBD-224744513996}" sibTransId="{ACF3D0B3-1654-43E8-9940-5685E5ED4984}"/>
    <dgm:cxn modelId="{760C80EF-7E30-4C05-91F4-BDF42416F7C2}" type="presOf" srcId="{AF70AC6E-A9F1-435E-859A-4B963AEC9BC3}" destId="{AC6BF7C1-5ECF-4DCC-B3E1-4A5389193B8C}" srcOrd="0" destOrd="4" presId="urn:microsoft.com/office/officeart/2008/layout/IncreasingCircleProcess"/>
    <dgm:cxn modelId="{C3D07CFA-6EA5-4013-8D5B-2D0635991E13}" srcId="{869DB8B3-2635-44F7-A7A5-8E3EDFE113AC}" destId="{060E8244-5736-46AB-8498-0024B591246B}" srcOrd="2" destOrd="0" parTransId="{8D4D94BA-95CB-46DF-9CB9-EACFE084F174}" sibTransId="{F7917F51-09C0-479A-AE92-6120BCF9A862}"/>
    <dgm:cxn modelId="{C8B348FB-2207-4808-8BA1-6618312C7618}" type="presOf" srcId="{869DB8B3-2635-44F7-A7A5-8E3EDFE113AC}" destId="{AC6BF7C1-5ECF-4DCC-B3E1-4A5389193B8C}" srcOrd="0" destOrd="0" presId="urn:microsoft.com/office/officeart/2008/layout/IncreasingCircleProcess"/>
    <dgm:cxn modelId="{E324F229-A28D-41D1-8CEE-D741510B8102}" type="presParOf" srcId="{D07EAC0B-6C72-4CC9-869C-960EB4C4301F}" destId="{51CE16E3-D93D-4013-A50F-DEE79FAB06EF}" srcOrd="0" destOrd="0" presId="urn:microsoft.com/office/officeart/2008/layout/IncreasingCircleProcess"/>
    <dgm:cxn modelId="{29C8FB15-492E-4CEA-A6CC-F35178F95D37}" type="presParOf" srcId="{51CE16E3-D93D-4013-A50F-DEE79FAB06EF}" destId="{411AC314-890B-473C-8F7B-00BBB4CA868D}" srcOrd="0" destOrd="0" presId="urn:microsoft.com/office/officeart/2008/layout/IncreasingCircleProcess"/>
    <dgm:cxn modelId="{BA5A1BD0-CE62-416F-AF3E-DA3DEDECF660}" type="presParOf" srcId="{51CE16E3-D93D-4013-A50F-DEE79FAB06EF}" destId="{2B55EE49-E545-4E5D-8CA7-758ABD8F1037}" srcOrd="1" destOrd="0" presId="urn:microsoft.com/office/officeart/2008/layout/IncreasingCircleProcess"/>
    <dgm:cxn modelId="{539E569C-23CD-48D4-964E-180B9BA7BB89}" type="presParOf" srcId="{51CE16E3-D93D-4013-A50F-DEE79FAB06EF}" destId="{AC6BF7C1-5ECF-4DCC-B3E1-4A5389193B8C}" srcOrd="2" destOrd="0" presId="urn:microsoft.com/office/officeart/2008/layout/IncreasingCircleProcess"/>
    <dgm:cxn modelId="{63CEEC75-F5EC-47C8-ADE6-3CE97F3BCE5B}" type="presParOf" srcId="{51CE16E3-D93D-4013-A50F-DEE79FAB06EF}" destId="{1764240F-41F9-42D2-8804-52DE5D0083C8}" srcOrd="3" destOrd="0" presId="urn:microsoft.com/office/officeart/2008/layout/IncreasingCircleProcess"/>
    <dgm:cxn modelId="{4AAC6979-A180-4C29-96E2-C7C275FF06B8}" type="presParOf" srcId="{D07EAC0B-6C72-4CC9-869C-960EB4C4301F}" destId="{B505E8B2-EC4C-4E81-B870-DBC1A7C58B2B}" srcOrd="1" destOrd="0" presId="urn:microsoft.com/office/officeart/2008/layout/IncreasingCircleProcess"/>
    <dgm:cxn modelId="{022697DF-6D85-4707-90E4-260E888ACDCE}" type="presParOf" srcId="{D07EAC0B-6C72-4CC9-869C-960EB4C4301F}" destId="{4CFC864D-410A-4600-936B-C94DFDD89DA4}" srcOrd="2" destOrd="0" presId="urn:microsoft.com/office/officeart/2008/layout/IncreasingCircleProcess"/>
    <dgm:cxn modelId="{D1059194-6D6A-415D-AF4A-CD0FD5D51E0E}" type="presParOf" srcId="{4CFC864D-410A-4600-936B-C94DFDD89DA4}" destId="{AA183D94-36D7-4B75-9F87-F2DBC47193CB}" srcOrd="0" destOrd="0" presId="urn:microsoft.com/office/officeart/2008/layout/IncreasingCircleProcess"/>
    <dgm:cxn modelId="{A7A1E999-7A91-457E-A840-94C369261553}" type="presParOf" srcId="{4CFC864D-410A-4600-936B-C94DFDD89DA4}" destId="{9EF24FDC-C911-45A7-90C1-FED8BAB1E0C4}" srcOrd="1" destOrd="0" presId="urn:microsoft.com/office/officeart/2008/layout/IncreasingCircleProcess"/>
    <dgm:cxn modelId="{C7BF8DC0-99CC-4830-9EC3-F714CE301C0B}" type="presParOf" srcId="{4CFC864D-410A-4600-936B-C94DFDD89DA4}" destId="{E93D3830-C9FC-416D-967A-6905CA1C5D94}" srcOrd="2" destOrd="0" presId="urn:microsoft.com/office/officeart/2008/layout/IncreasingCircleProcess"/>
    <dgm:cxn modelId="{DBA93F35-7E78-4E5A-9C39-FCE3935572C6}" type="presParOf" srcId="{4CFC864D-410A-4600-936B-C94DFDD89DA4}" destId="{B6E2FDED-F034-4989-955A-6FD17C233760}" srcOrd="3" destOrd="0" presId="urn:microsoft.com/office/officeart/2008/layout/IncreasingCircleProcess"/>
  </dgm:cxnLst>
  <dgm:bg/>
  <dgm:whole/>
  <dgm:extLst>
    <a:ext uri="http://schemas.microsoft.com/office/drawing/2008/diagram">
      <dsp:dataModelExt xmlns:dsp="http://schemas.microsoft.com/office/drawing/2008/diagram" relId="rId5" minVer="http://schemas.openxmlformats.org/drawingml/2006/diagram"/>
    </a:ext>
    <a:ext uri="{C62137D5-CB1D-491B-B009-E17868A290BF}">
      <dgm14:recolorImg xmlns:dgm14="http://schemas.microsoft.com/office/drawing/2010/diagram" val="1"/>
    </a:ext>
  </dgm:extLst>
</dgm:dataModel>
</file>

<file path=xl/diagrams/data10.xml><?xml version="1.0" encoding="utf-8"?>
<dgm:dataModel xmlns:dgm="http://schemas.openxmlformats.org/drawingml/2006/diagram" xmlns:a="http://schemas.openxmlformats.org/drawingml/2006/main">
  <dgm:ptLst>
    <dgm:pt modelId="{A80A33B1-96E3-4F30-8F76-9A9593792620}" type="doc">
      <dgm:prSet loTypeId="urn:microsoft.com/office/officeart/2005/8/layout/process5" loCatId="process" qsTypeId="urn:microsoft.com/office/officeart/2005/8/quickstyle/simple1" qsCatId="simple" csTypeId="urn:microsoft.com/office/officeart/2005/8/colors/accent0_1" csCatId="mainScheme" phldr="1"/>
      <dgm:spPr/>
      <dgm:t>
        <a:bodyPr/>
        <a:lstStyle/>
        <a:p>
          <a:endParaRPr lang="en-AU"/>
        </a:p>
      </dgm:t>
    </dgm:pt>
    <dgm:pt modelId="{E13F4AC1-0FC2-4D7A-B9DA-007D7370D986}">
      <dgm:prSet phldrT="[Text]"/>
      <dgm:spPr/>
      <dgm:t>
        <a:bodyPr/>
        <a:lstStyle/>
        <a:p>
          <a:r>
            <a:rPr lang="en-AU" b="0" i="0" u="none"/>
            <a:t>A customer calls a call center to place an order.</a:t>
          </a:r>
          <a:endParaRPr lang="en-AU"/>
        </a:p>
      </dgm:t>
    </dgm:pt>
    <dgm:pt modelId="{C9712198-9632-4979-9DED-9A1B23053133}" type="parTrans" cxnId="{C22382A1-8C5C-4D7C-9E3A-1951FA981672}">
      <dgm:prSet/>
      <dgm:spPr/>
      <dgm:t>
        <a:bodyPr/>
        <a:lstStyle/>
        <a:p>
          <a:endParaRPr lang="en-AU"/>
        </a:p>
      </dgm:t>
    </dgm:pt>
    <dgm:pt modelId="{42EDF391-4157-49F5-BB2E-0F021FF9262A}" type="sibTrans" cxnId="{C22382A1-8C5C-4D7C-9E3A-1951FA981672}">
      <dgm:prSet/>
      <dgm:spPr/>
      <dgm:t>
        <a:bodyPr/>
        <a:lstStyle/>
        <a:p>
          <a:endParaRPr lang="en-AU"/>
        </a:p>
      </dgm:t>
    </dgm:pt>
    <dgm:pt modelId="{04566619-6EF9-4182-B2D5-9BEE19735547}">
      <dgm:prSet/>
      <dgm:spPr/>
      <dgm:t>
        <a:bodyPr/>
        <a:lstStyle/>
        <a:p>
          <a:r>
            <a:rPr lang="en-AU" b="0" i="0" u="none"/>
            <a:t>A call center representative confirms the customer identity by asking for personal information including name, address, date of birth, drivers license number and PIN.</a:t>
          </a:r>
          <a:endParaRPr lang="en-AU"/>
        </a:p>
      </dgm:t>
    </dgm:pt>
    <dgm:pt modelId="{F90D8675-EFFD-4662-ACAE-4B9CC302DD8F}" type="parTrans" cxnId="{21153082-73D3-453D-AAD8-9C423118B8E4}">
      <dgm:prSet/>
      <dgm:spPr/>
      <dgm:t>
        <a:bodyPr/>
        <a:lstStyle/>
        <a:p>
          <a:endParaRPr lang="en-AU"/>
        </a:p>
      </dgm:t>
    </dgm:pt>
    <dgm:pt modelId="{A284BDDE-2CDA-490E-A9A4-11892C4E196E}" type="sibTrans" cxnId="{21153082-73D3-453D-AAD8-9C423118B8E4}">
      <dgm:prSet/>
      <dgm:spPr/>
      <dgm:t>
        <a:bodyPr/>
        <a:lstStyle/>
        <a:p>
          <a:endParaRPr lang="en-AU"/>
        </a:p>
      </dgm:t>
    </dgm:pt>
    <dgm:pt modelId="{C15BE758-33D4-43F1-BE54-E542B2B50BE8}">
      <dgm:prSet/>
      <dgm:spPr/>
      <dgm:t>
        <a:bodyPr/>
        <a:lstStyle/>
        <a:p>
          <a:r>
            <a:rPr lang="en-AU" b="0" i="0" u="none"/>
            <a:t>The call center representative takes down the customer’s order details such as product name, quantity, delivery address, and payment method.</a:t>
          </a:r>
          <a:endParaRPr lang="en-AU"/>
        </a:p>
      </dgm:t>
    </dgm:pt>
    <dgm:pt modelId="{AFFF65FE-E12A-4436-813A-AFD56C59CA13}" type="parTrans" cxnId="{6F545DFD-FB48-408E-ADD8-7495062037B7}">
      <dgm:prSet/>
      <dgm:spPr/>
      <dgm:t>
        <a:bodyPr/>
        <a:lstStyle/>
        <a:p>
          <a:endParaRPr lang="en-AU"/>
        </a:p>
      </dgm:t>
    </dgm:pt>
    <dgm:pt modelId="{225A107B-DE90-446A-8421-9E5798C3F227}" type="sibTrans" cxnId="{6F545DFD-FB48-408E-ADD8-7495062037B7}">
      <dgm:prSet/>
      <dgm:spPr/>
      <dgm:t>
        <a:bodyPr/>
        <a:lstStyle/>
        <a:p>
          <a:endParaRPr lang="en-AU"/>
        </a:p>
      </dgm:t>
    </dgm:pt>
    <dgm:pt modelId="{92FEBF7F-AA5A-4502-85D6-BF29CF125EE0}">
      <dgm:prSet/>
      <dgm:spPr/>
      <dgm:t>
        <a:bodyPr/>
        <a:lstStyle/>
        <a:p>
          <a:r>
            <a:rPr lang="en-AU" b="0" i="0" u="none"/>
            <a:t>The call center representative then enters this information into a backup order management system which creates an order record.</a:t>
          </a:r>
          <a:endParaRPr lang="en-AU"/>
        </a:p>
      </dgm:t>
    </dgm:pt>
    <dgm:pt modelId="{599A4A6F-50C7-4BD4-AA8C-61AB796C6C78}" type="parTrans" cxnId="{97A64005-0760-4FE8-B8BA-E8E1CE553D43}">
      <dgm:prSet/>
      <dgm:spPr/>
      <dgm:t>
        <a:bodyPr/>
        <a:lstStyle/>
        <a:p>
          <a:endParaRPr lang="en-AU"/>
        </a:p>
      </dgm:t>
    </dgm:pt>
    <dgm:pt modelId="{FADA35C5-A927-45A2-A43F-962C0C81F6F0}" type="sibTrans" cxnId="{97A64005-0760-4FE8-B8BA-E8E1CE553D43}">
      <dgm:prSet/>
      <dgm:spPr/>
      <dgm:t>
        <a:bodyPr/>
        <a:lstStyle/>
        <a:p>
          <a:endParaRPr lang="en-AU"/>
        </a:p>
      </dgm:t>
    </dgm:pt>
    <dgm:pt modelId="{F2AE935C-A530-4904-A7E7-ACB1CFE341D7}">
      <dgm:prSet/>
      <dgm:spPr/>
      <dgm:t>
        <a:bodyPr/>
        <a:lstStyle/>
        <a:p>
          <a:r>
            <a:rPr lang="en-AU" b="0" i="0" u="none"/>
            <a:t>The backup warehouse management system receives the order record and assigns it to a warehouse worker for picking and packing.</a:t>
          </a:r>
          <a:endParaRPr lang="en-AU"/>
        </a:p>
      </dgm:t>
    </dgm:pt>
    <dgm:pt modelId="{10C9425E-3D03-4D59-97D0-BEE24BBC3F14}" type="parTrans" cxnId="{DE175785-1AC6-4E22-90B5-04DBB58D7695}">
      <dgm:prSet/>
      <dgm:spPr/>
      <dgm:t>
        <a:bodyPr/>
        <a:lstStyle/>
        <a:p>
          <a:endParaRPr lang="en-AU"/>
        </a:p>
      </dgm:t>
    </dgm:pt>
    <dgm:pt modelId="{5CF2E0DA-958E-4AD3-B3D7-FB997C45E939}" type="sibTrans" cxnId="{DE175785-1AC6-4E22-90B5-04DBB58D7695}">
      <dgm:prSet/>
      <dgm:spPr/>
      <dgm:t>
        <a:bodyPr/>
        <a:lstStyle/>
        <a:p>
          <a:endParaRPr lang="en-AU"/>
        </a:p>
      </dgm:t>
    </dgm:pt>
    <dgm:pt modelId="{95E11CD6-D8B5-4BB4-9600-FA61F5F49A55}">
      <dgm:prSet/>
      <dgm:spPr/>
      <dgm:t>
        <a:bodyPr/>
        <a:lstStyle/>
        <a:p>
          <a:r>
            <a:rPr lang="en-AU" b="0" i="0" u="none"/>
            <a:t>The call center representative confirms the purchase order, payment and shipping information and instructs the warehouse worker to ship the order to the customer.</a:t>
          </a:r>
          <a:endParaRPr lang="en-AU"/>
        </a:p>
      </dgm:t>
    </dgm:pt>
    <dgm:pt modelId="{361FD615-714D-4271-A767-5E0F10BB8BE1}" type="parTrans" cxnId="{F2DC0D92-03B8-4E73-9375-F47A9AE7146F}">
      <dgm:prSet/>
      <dgm:spPr/>
      <dgm:t>
        <a:bodyPr/>
        <a:lstStyle/>
        <a:p>
          <a:endParaRPr lang="en-AU"/>
        </a:p>
      </dgm:t>
    </dgm:pt>
    <dgm:pt modelId="{E9598D33-696B-43C2-B80D-A25B7C7F86E7}" type="sibTrans" cxnId="{F2DC0D92-03B8-4E73-9375-F47A9AE7146F}">
      <dgm:prSet/>
      <dgm:spPr/>
      <dgm:t>
        <a:bodyPr/>
        <a:lstStyle/>
        <a:p>
          <a:endParaRPr lang="en-AU"/>
        </a:p>
      </dgm:t>
    </dgm:pt>
    <dgm:pt modelId="{5604001D-7B63-4807-9F3A-9B98B6C7095F}">
      <dgm:prSet/>
      <dgm:spPr/>
      <dgm:t>
        <a:bodyPr/>
        <a:lstStyle/>
        <a:p>
          <a:r>
            <a:rPr lang="en-AU" b="0" i="0" u="none"/>
            <a:t>The backup order management system sends this order record to the backup warehouse management system which manages inventory and fulfillment.</a:t>
          </a:r>
          <a:endParaRPr lang="en-AU"/>
        </a:p>
      </dgm:t>
    </dgm:pt>
    <dgm:pt modelId="{1C32E345-07D7-4D48-82D8-CA51ED080C34}" type="parTrans" cxnId="{6C1F2772-7C4D-4AA4-9FE8-F2AA34E4E72B}">
      <dgm:prSet/>
      <dgm:spPr/>
      <dgm:t>
        <a:bodyPr/>
        <a:lstStyle/>
        <a:p>
          <a:endParaRPr lang="en-AU"/>
        </a:p>
      </dgm:t>
    </dgm:pt>
    <dgm:pt modelId="{267F596F-947B-4341-A5C4-13562B1BFD81}" type="sibTrans" cxnId="{6C1F2772-7C4D-4AA4-9FE8-F2AA34E4E72B}">
      <dgm:prSet/>
      <dgm:spPr/>
      <dgm:t>
        <a:bodyPr/>
        <a:lstStyle/>
        <a:p>
          <a:endParaRPr lang="en-AU"/>
        </a:p>
      </dgm:t>
    </dgm:pt>
    <dgm:pt modelId="{96DB958B-2B5B-4E8A-A7A0-E2FF72D6C811}">
      <dgm:prSet/>
      <dgm:spPr/>
      <dgm:t>
        <a:bodyPr/>
        <a:lstStyle/>
        <a:p>
          <a:r>
            <a:rPr lang="en-AU" b="0" i="0" u="none"/>
            <a:t>The warehouse worker confirms stock and advises the call center representative.</a:t>
          </a:r>
          <a:endParaRPr lang="en-AU"/>
        </a:p>
      </dgm:t>
    </dgm:pt>
    <dgm:pt modelId="{141A03AB-85E4-4045-8C4E-734039F960E1}" type="parTrans" cxnId="{4A74F423-FD6A-4073-B88B-7331C899DC10}">
      <dgm:prSet/>
      <dgm:spPr/>
      <dgm:t>
        <a:bodyPr/>
        <a:lstStyle/>
        <a:p>
          <a:endParaRPr lang="en-AU"/>
        </a:p>
      </dgm:t>
    </dgm:pt>
    <dgm:pt modelId="{7FFCA395-51D0-4D09-83E3-02361EBB005A}" type="sibTrans" cxnId="{4A74F423-FD6A-4073-B88B-7331C899DC10}">
      <dgm:prSet/>
      <dgm:spPr/>
      <dgm:t>
        <a:bodyPr/>
        <a:lstStyle/>
        <a:p>
          <a:endParaRPr lang="en-AU"/>
        </a:p>
      </dgm:t>
    </dgm:pt>
    <dgm:pt modelId="{30951D3E-C658-4038-947D-509D13B7FCFA}">
      <dgm:prSet/>
      <dgm:spPr/>
      <dgm:t>
        <a:bodyPr/>
        <a:lstStyle/>
        <a:p>
          <a:r>
            <a:rPr lang="en-AU" b="0" i="0" u="none"/>
            <a:t>The warehouse worker picks the item(s) from their respective locations in the warehouse and packs them into boxes.</a:t>
          </a:r>
          <a:endParaRPr lang="en-AU"/>
        </a:p>
      </dgm:t>
    </dgm:pt>
    <dgm:pt modelId="{7A5E9FEE-6352-43E3-A7D8-E30F4D0CF7A1}" type="parTrans" cxnId="{74B76EF0-7C95-40CC-9FDC-F7D8F9321628}">
      <dgm:prSet/>
      <dgm:spPr/>
      <dgm:t>
        <a:bodyPr/>
        <a:lstStyle/>
        <a:p>
          <a:endParaRPr lang="en-AU"/>
        </a:p>
      </dgm:t>
    </dgm:pt>
    <dgm:pt modelId="{689C53D4-AD4A-4E7A-90CD-DBA1B3C89C53}" type="sibTrans" cxnId="{74B76EF0-7C95-40CC-9FDC-F7D8F9321628}">
      <dgm:prSet/>
      <dgm:spPr/>
      <dgm:t>
        <a:bodyPr/>
        <a:lstStyle/>
        <a:p>
          <a:endParaRPr lang="en-AU"/>
        </a:p>
      </dgm:t>
    </dgm:pt>
    <dgm:pt modelId="{2EAA320B-C4AD-4416-9F71-478BC25B24EF}">
      <dgm:prSet/>
      <dgm:spPr/>
      <dgm:t>
        <a:bodyPr/>
        <a:lstStyle/>
        <a:p>
          <a:r>
            <a:rPr lang="en-AU" b="0" i="0" u="none"/>
            <a:t>The packed boxes are then sent to the shipping department where they are labelled and shipped to the customer.</a:t>
          </a:r>
          <a:endParaRPr lang="en-AU"/>
        </a:p>
      </dgm:t>
    </dgm:pt>
    <dgm:pt modelId="{09B20F41-FE7E-49CD-9D64-BAEB46E3D9D0}" type="parTrans" cxnId="{5675D43B-61C6-46B9-9FA4-E2B8D58AC031}">
      <dgm:prSet/>
      <dgm:spPr/>
      <dgm:t>
        <a:bodyPr/>
        <a:lstStyle/>
        <a:p>
          <a:endParaRPr lang="en-AU"/>
        </a:p>
      </dgm:t>
    </dgm:pt>
    <dgm:pt modelId="{8A34032C-283B-41A4-A29D-1C47C6420988}" type="sibTrans" cxnId="{5675D43B-61C6-46B9-9FA4-E2B8D58AC031}">
      <dgm:prSet/>
      <dgm:spPr/>
      <dgm:t>
        <a:bodyPr/>
        <a:lstStyle/>
        <a:p>
          <a:endParaRPr lang="en-AU"/>
        </a:p>
      </dgm:t>
    </dgm:pt>
    <dgm:pt modelId="{EC82F3E8-2CEF-41D5-BFA9-7FEBB39B03CF}">
      <dgm:prSet phldrT="[Text]"/>
      <dgm:spPr/>
      <dgm:t>
        <a:bodyPr/>
        <a:lstStyle/>
        <a:p>
          <a:r>
            <a:rPr lang="en-AU"/>
            <a:t>Start</a:t>
          </a:r>
        </a:p>
      </dgm:t>
    </dgm:pt>
    <dgm:pt modelId="{5462E445-9BD9-42F0-A8B2-F0DA4A734044}" type="parTrans" cxnId="{2BBAF8F7-DEE0-4F52-A7C4-BED68FF70D91}">
      <dgm:prSet/>
      <dgm:spPr/>
      <dgm:t>
        <a:bodyPr/>
        <a:lstStyle/>
        <a:p>
          <a:endParaRPr lang="en-AU"/>
        </a:p>
      </dgm:t>
    </dgm:pt>
    <dgm:pt modelId="{6F6368F2-06E9-48F9-BBD6-EDBD88BA2A54}" type="sibTrans" cxnId="{2BBAF8F7-DEE0-4F52-A7C4-BED68FF70D91}">
      <dgm:prSet/>
      <dgm:spPr/>
      <dgm:t>
        <a:bodyPr/>
        <a:lstStyle/>
        <a:p>
          <a:endParaRPr lang="en-AU"/>
        </a:p>
      </dgm:t>
    </dgm:pt>
    <dgm:pt modelId="{918FA49C-789A-4E07-BDDE-81C35EEE0371}">
      <dgm:prSet/>
      <dgm:spPr/>
      <dgm:t>
        <a:bodyPr/>
        <a:lstStyle/>
        <a:p>
          <a:r>
            <a:rPr lang="en-AU"/>
            <a:t>End: When the system comes back online the call center</a:t>
          </a:r>
          <a:r>
            <a:rPr lang="en-AU" baseline="0"/>
            <a:t> representative updates the system using the manual entry update function.</a:t>
          </a:r>
          <a:endParaRPr lang="en-AU"/>
        </a:p>
      </dgm:t>
    </dgm:pt>
    <dgm:pt modelId="{B5D7BD73-7D48-483C-A60D-C90624C6A666}" type="parTrans" cxnId="{CD25DE32-439E-477E-96EF-FAC9E0CE9849}">
      <dgm:prSet/>
      <dgm:spPr/>
      <dgm:t>
        <a:bodyPr/>
        <a:lstStyle/>
        <a:p>
          <a:endParaRPr lang="en-AU"/>
        </a:p>
      </dgm:t>
    </dgm:pt>
    <dgm:pt modelId="{ABD25FBB-0A35-4457-A8BD-31AD7A5603A5}" type="sibTrans" cxnId="{CD25DE32-439E-477E-96EF-FAC9E0CE9849}">
      <dgm:prSet/>
      <dgm:spPr/>
      <dgm:t>
        <a:bodyPr/>
        <a:lstStyle/>
        <a:p>
          <a:endParaRPr lang="en-AU"/>
        </a:p>
      </dgm:t>
    </dgm:pt>
    <dgm:pt modelId="{74667E85-5CEF-4C14-A739-AAB5FC4AAAF3}" type="pres">
      <dgm:prSet presAssocID="{A80A33B1-96E3-4F30-8F76-9A9593792620}" presName="diagram" presStyleCnt="0">
        <dgm:presLayoutVars>
          <dgm:dir/>
          <dgm:resizeHandles val="exact"/>
        </dgm:presLayoutVars>
      </dgm:prSet>
      <dgm:spPr/>
    </dgm:pt>
    <dgm:pt modelId="{20F4674C-368B-4A6A-8E1C-5696B6904034}" type="pres">
      <dgm:prSet presAssocID="{EC82F3E8-2CEF-41D5-BFA9-7FEBB39B03CF}" presName="node" presStyleLbl="node1" presStyleIdx="0" presStyleCnt="12">
        <dgm:presLayoutVars>
          <dgm:bulletEnabled val="1"/>
        </dgm:presLayoutVars>
      </dgm:prSet>
      <dgm:spPr/>
    </dgm:pt>
    <dgm:pt modelId="{8D2C8DFD-97B6-4542-87C0-E0B4E7516398}" type="pres">
      <dgm:prSet presAssocID="{6F6368F2-06E9-48F9-BBD6-EDBD88BA2A54}" presName="sibTrans" presStyleLbl="sibTrans2D1" presStyleIdx="0" presStyleCnt="11"/>
      <dgm:spPr/>
    </dgm:pt>
    <dgm:pt modelId="{25F87522-DEF6-42BC-8029-825F71B895BC}" type="pres">
      <dgm:prSet presAssocID="{6F6368F2-06E9-48F9-BBD6-EDBD88BA2A54}" presName="connectorText" presStyleLbl="sibTrans2D1" presStyleIdx="0" presStyleCnt="11"/>
      <dgm:spPr/>
    </dgm:pt>
    <dgm:pt modelId="{CFBECC0C-1AE3-4EC3-A63A-ACB3920E1571}" type="pres">
      <dgm:prSet presAssocID="{E13F4AC1-0FC2-4D7A-B9DA-007D7370D986}" presName="node" presStyleLbl="node1" presStyleIdx="1" presStyleCnt="12">
        <dgm:presLayoutVars>
          <dgm:bulletEnabled val="1"/>
        </dgm:presLayoutVars>
      </dgm:prSet>
      <dgm:spPr/>
    </dgm:pt>
    <dgm:pt modelId="{791E4784-D713-43B5-9745-595E6B54F1C5}" type="pres">
      <dgm:prSet presAssocID="{42EDF391-4157-49F5-BB2E-0F021FF9262A}" presName="sibTrans" presStyleLbl="sibTrans2D1" presStyleIdx="1" presStyleCnt="11"/>
      <dgm:spPr/>
    </dgm:pt>
    <dgm:pt modelId="{892A0D2D-3A3F-463F-8998-A43E91FAE57E}" type="pres">
      <dgm:prSet presAssocID="{42EDF391-4157-49F5-BB2E-0F021FF9262A}" presName="connectorText" presStyleLbl="sibTrans2D1" presStyleIdx="1" presStyleCnt="11"/>
      <dgm:spPr/>
    </dgm:pt>
    <dgm:pt modelId="{1DBFA8EE-8EAF-463B-99FA-4ADBC3198EE0}" type="pres">
      <dgm:prSet presAssocID="{04566619-6EF9-4182-B2D5-9BEE19735547}" presName="node" presStyleLbl="node1" presStyleIdx="2" presStyleCnt="12">
        <dgm:presLayoutVars>
          <dgm:bulletEnabled val="1"/>
        </dgm:presLayoutVars>
      </dgm:prSet>
      <dgm:spPr/>
    </dgm:pt>
    <dgm:pt modelId="{7D25FBB2-6AC4-4FCE-8381-8B92AD5103B4}" type="pres">
      <dgm:prSet presAssocID="{A284BDDE-2CDA-490E-A9A4-11892C4E196E}" presName="sibTrans" presStyleLbl="sibTrans2D1" presStyleIdx="2" presStyleCnt="11"/>
      <dgm:spPr/>
    </dgm:pt>
    <dgm:pt modelId="{2454F2BF-A356-4015-89D5-7A550D1ECF2F}" type="pres">
      <dgm:prSet presAssocID="{A284BDDE-2CDA-490E-A9A4-11892C4E196E}" presName="connectorText" presStyleLbl="sibTrans2D1" presStyleIdx="2" presStyleCnt="11"/>
      <dgm:spPr/>
    </dgm:pt>
    <dgm:pt modelId="{325A4A05-2F82-4F7C-A842-EABBEA667D07}" type="pres">
      <dgm:prSet presAssocID="{C15BE758-33D4-43F1-BE54-E542B2B50BE8}" presName="node" presStyleLbl="node1" presStyleIdx="3" presStyleCnt="12">
        <dgm:presLayoutVars>
          <dgm:bulletEnabled val="1"/>
        </dgm:presLayoutVars>
      </dgm:prSet>
      <dgm:spPr/>
    </dgm:pt>
    <dgm:pt modelId="{0A7ADCED-5487-4419-837E-5EEA1EAFEE17}" type="pres">
      <dgm:prSet presAssocID="{225A107B-DE90-446A-8421-9E5798C3F227}" presName="sibTrans" presStyleLbl="sibTrans2D1" presStyleIdx="3" presStyleCnt="11"/>
      <dgm:spPr/>
    </dgm:pt>
    <dgm:pt modelId="{F5B7E9A4-8CCE-400E-8C1A-A3891C012DE7}" type="pres">
      <dgm:prSet presAssocID="{225A107B-DE90-446A-8421-9E5798C3F227}" presName="connectorText" presStyleLbl="sibTrans2D1" presStyleIdx="3" presStyleCnt="11"/>
      <dgm:spPr/>
    </dgm:pt>
    <dgm:pt modelId="{1E90D289-5CFF-4366-A098-1D993954A2E3}" type="pres">
      <dgm:prSet presAssocID="{92FEBF7F-AA5A-4502-85D6-BF29CF125EE0}" presName="node" presStyleLbl="node1" presStyleIdx="4" presStyleCnt="12">
        <dgm:presLayoutVars>
          <dgm:bulletEnabled val="1"/>
        </dgm:presLayoutVars>
      </dgm:prSet>
      <dgm:spPr/>
    </dgm:pt>
    <dgm:pt modelId="{AA53A3CC-9B6D-4CA4-91D9-46A71C995634}" type="pres">
      <dgm:prSet presAssocID="{FADA35C5-A927-45A2-A43F-962C0C81F6F0}" presName="sibTrans" presStyleLbl="sibTrans2D1" presStyleIdx="4" presStyleCnt="11"/>
      <dgm:spPr/>
    </dgm:pt>
    <dgm:pt modelId="{0821A50B-EA3B-4224-AFB9-46522517324F}" type="pres">
      <dgm:prSet presAssocID="{FADA35C5-A927-45A2-A43F-962C0C81F6F0}" presName="connectorText" presStyleLbl="sibTrans2D1" presStyleIdx="4" presStyleCnt="11"/>
      <dgm:spPr/>
    </dgm:pt>
    <dgm:pt modelId="{41478BBE-BEDE-4FE6-A0C4-20F6F1DD3AFC}" type="pres">
      <dgm:prSet presAssocID="{5604001D-7B63-4807-9F3A-9B98B6C7095F}" presName="node" presStyleLbl="node1" presStyleIdx="5" presStyleCnt="12">
        <dgm:presLayoutVars>
          <dgm:bulletEnabled val="1"/>
        </dgm:presLayoutVars>
      </dgm:prSet>
      <dgm:spPr/>
    </dgm:pt>
    <dgm:pt modelId="{DCC590DE-9BFA-4AEF-BC38-77C3878E7786}" type="pres">
      <dgm:prSet presAssocID="{267F596F-947B-4341-A5C4-13562B1BFD81}" presName="sibTrans" presStyleLbl="sibTrans2D1" presStyleIdx="5" presStyleCnt="11"/>
      <dgm:spPr/>
    </dgm:pt>
    <dgm:pt modelId="{85440EF9-0959-43CF-BCC1-E342963A2CFC}" type="pres">
      <dgm:prSet presAssocID="{267F596F-947B-4341-A5C4-13562B1BFD81}" presName="connectorText" presStyleLbl="sibTrans2D1" presStyleIdx="5" presStyleCnt="11"/>
      <dgm:spPr/>
    </dgm:pt>
    <dgm:pt modelId="{95AFA99D-07D8-4373-A488-1EC7FEEBE581}" type="pres">
      <dgm:prSet presAssocID="{F2AE935C-A530-4904-A7E7-ACB1CFE341D7}" presName="node" presStyleLbl="node1" presStyleIdx="6" presStyleCnt="12">
        <dgm:presLayoutVars>
          <dgm:bulletEnabled val="1"/>
        </dgm:presLayoutVars>
      </dgm:prSet>
      <dgm:spPr/>
    </dgm:pt>
    <dgm:pt modelId="{B1407EEB-228A-462C-B318-1836266C292D}" type="pres">
      <dgm:prSet presAssocID="{5CF2E0DA-958E-4AD3-B3D7-FB997C45E939}" presName="sibTrans" presStyleLbl="sibTrans2D1" presStyleIdx="6" presStyleCnt="11"/>
      <dgm:spPr/>
    </dgm:pt>
    <dgm:pt modelId="{98F0D605-8DEB-46A7-8B1A-E511B0C56F5E}" type="pres">
      <dgm:prSet presAssocID="{5CF2E0DA-958E-4AD3-B3D7-FB997C45E939}" presName="connectorText" presStyleLbl="sibTrans2D1" presStyleIdx="6" presStyleCnt="11"/>
      <dgm:spPr/>
    </dgm:pt>
    <dgm:pt modelId="{8E67BC05-8A8D-4A96-993E-567DAF8B348B}" type="pres">
      <dgm:prSet presAssocID="{96DB958B-2B5B-4E8A-A7A0-E2FF72D6C811}" presName="node" presStyleLbl="node1" presStyleIdx="7" presStyleCnt="12">
        <dgm:presLayoutVars>
          <dgm:bulletEnabled val="1"/>
        </dgm:presLayoutVars>
      </dgm:prSet>
      <dgm:spPr/>
    </dgm:pt>
    <dgm:pt modelId="{B5D1D8DE-1356-4C9C-A4F1-82B59F515425}" type="pres">
      <dgm:prSet presAssocID="{7FFCA395-51D0-4D09-83E3-02361EBB005A}" presName="sibTrans" presStyleLbl="sibTrans2D1" presStyleIdx="7" presStyleCnt="11"/>
      <dgm:spPr/>
    </dgm:pt>
    <dgm:pt modelId="{AFA76281-C679-401D-AA9A-F6BCED2B8ABB}" type="pres">
      <dgm:prSet presAssocID="{7FFCA395-51D0-4D09-83E3-02361EBB005A}" presName="connectorText" presStyleLbl="sibTrans2D1" presStyleIdx="7" presStyleCnt="11"/>
      <dgm:spPr/>
    </dgm:pt>
    <dgm:pt modelId="{7B6776DC-8309-446F-929C-2B7C809090A0}" type="pres">
      <dgm:prSet presAssocID="{95E11CD6-D8B5-4BB4-9600-FA61F5F49A55}" presName="node" presStyleLbl="node1" presStyleIdx="8" presStyleCnt="12">
        <dgm:presLayoutVars>
          <dgm:bulletEnabled val="1"/>
        </dgm:presLayoutVars>
      </dgm:prSet>
      <dgm:spPr/>
    </dgm:pt>
    <dgm:pt modelId="{E241568D-2AEF-4481-92D6-137BECCDF063}" type="pres">
      <dgm:prSet presAssocID="{E9598D33-696B-43C2-B80D-A25B7C7F86E7}" presName="sibTrans" presStyleLbl="sibTrans2D1" presStyleIdx="8" presStyleCnt="11"/>
      <dgm:spPr/>
    </dgm:pt>
    <dgm:pt modelId="{9ABF498A-DDC7-426B-AEEB-CE916D0E3A03}" type="pres">
      <dgm:prSet presAssocID="{E9598D33-696B-43C2-B80D-A25B7C7F86E7}" presName="connectorText" presStyleLbl="sibTrans2D1" presStyleIdx="8" presStyleCnt="11"/>
      <dgm:spPr/>
    </dgm:pt>
    <dgm:pt modelId="{72B0981F-F166-410E-8BE0-3D7707FC7D94}" type="pres">
      <dgm:prSet presAssocID="{30951D3E-C658-4038-947D-509D13B7FCFA}" presName="node" presStyleLbl="node1" presStyleIdx="9" presStyleCnt="12">
        <dgm:presLayoutVars>
          <dgm:bulletEnabled val="1"/>
        </dgm:presLayoutVars>
      </dgm:prSet>
      <dgm:spPr/>
    </dgm:pt>
    <dgm:pt modelId="{A22331AE-A7F4-4EDF-9778-70469B5C9A65}" type="pres">
      <dgm:prSet presAssocID="{689C53D4-AD4A-4E7A-90CD-DBA1B3C89C53}" presName="sibTrans" presStyleLbl="sibTrans2D1" presStyleIdx="9" presStyleCnt="11"/>
      <dgm:spPr/>
    </dgm:pt>
    <dgm:pt modelId="{3FCCDE22-54C9-4BB1-B669-F40B72E6F868}" type="pres">
      <dgm:prSet presAssocID="{689C53D4-AD4A-4E7A-90CD-DBA1B3C89C53}" presName="connectorText" presStyleLbl="sibTrans2D1" presStyleIdx="9" presStyleCnt="11"/>
      <dgm:spPr/>
    </dgm:pt>
    <dgm:pt modelId="{4DA1F20F-4705-4D4B-A3D3-598792FDDA0A}" type="pres">
      <dgm:prSet presAssocID="{2EAA320B-C4AD-4416-9F71-478BC25B24EF}" presName="node" presStyleLbl="node1" presStyleIdx="10" presStyleCnt="12">
        <dgm:presLayoutVars>
          <dgm:bulletEnabled val="1"/>
        </dgm:presLayoutVars>
      </dgm:prSet>
      <dgm:spPr/>
    </dgm:pt>
    <dgm:pt modelId="{0F08ED1C-95EA-4526-B65B-730DB7A8FA63}" type="pres">
      <dgm:prSet presAssocID="{8A34032C-283B-41A4-A29D-1C47C6420988}" presName="sibTrans" presStyleLbl="sibTrans2D1" presStyleIdx="10" presStyleCnt="11"/>
      <dgm:spPr/>
    </dgm:pt>
    <dgm:pt modelId="{D85EB6A4-5BA6-4120-B9E1-BFBEBEAF6655}" type="pres">
      <dgm:prSet presAssocID="{8A34032C-283B-41A4-A29D-1C47C6420988}" presName="connectorText" presStyleLbl="sibTrans2D1" presStyleIdx="10" presStyleCnt="11"/>
      <dgm:spPr/>
    </dgm:pt>
    <dgm:pt modelId="{7EE358B6-D000-43CC-952B-218A3885B3CD}" type="pres">
      <dgm:prSet presAssocID="{918FA49C-789A-4E07-BDDE-81C35EEE0371}" presName="node" presStyleLbl="node1" presStyleIdx="11" presStyleCnt="12">
        <dgm:presLayoutVars>
          <dgm:bulletEnabled val="1"/>
        </dgm:presLayoutVars>
      </dgm:prSet>
      <dgm:spPr/>
    </dgm:pt>
  </dgm:ptLst>
  <dgm:cxnLst>
    <dgm:cxn modelId="{75F7F202-A543-4283-8BC4-76E340352EAC}" type="presOf" srcId="{E9598D33-696B-43C2-B80D-A25B7C7F86E7}" destId="{E241568D-2AEF-4481-92D6-137BECCDF063}" srcOrd="0" destOrd="0" presId="urn:microsoft.com/office/officeart/2005/8/layout/process5"/>
    <dgm:cxn modelId="{97A64005-0760-4FE8-B8BA-E8E1CE553D43}" srcId="{A80A33B1-96E3-4F30-8F76-9A9593792620}" destId="{92FEBF7F-AA5A-4502-85D6-BF29CF125EE0}" srcOrd="4" destOrd="0" parTransId="{599A4A6F-50C7-4BD4-AA8C-61AB796C6C78}" sibTransId="{FADA35C5-A927-45A2-A43F-962C0C81F6F0}"/>
    <dgm:cxn modelId="{F733F210-C417-460F-B337-F78FA2A32875}" type="presOf" srcId="{8A34032C-283B-41A4-A29D-1C47C6420988}" destId="{D85EB6A4-5BA6-4120-B9E1-BFBEBEAF6655}" srcOrd="1" destOrd="0" presId="urn:microsoft.com/office/officeart/2005/8/layout/process5"/>
    <dgm:cxn modelId="{4A74F423-FD6A-4073-B88B-7331C899DC10}" srcId="{A80A33B1-96E3-4F30-8F76-9A9593792620}" destId="{96DB958B-2B5B-4E8A-A7A0-E2FF72D6C811}" srcOrd="7" destOrd="0" parTransId="{141A03AB-85E4-4045-8C4E-734039F960E1}" sibTransId="{7FFCA395-51D0-4D09-83E3-02361EBB005A}"/>
    <dgm:cxn modelId="{CD25DE32-439E-477E-96EF-FAC9E0CE9849}" srcId="{A80A33B1-96E3-4F30-8F76-9A9593792620}" destId="{918FA49C-789A-4E07-BDDE-81C35EEE0371}" srcOrd="11" destOrd="0" parTransId="{B5D7BD73-7D48-483C-A60D-C90624C6A666}" sibTransId="{ABD25FBB-0A35-4457-A8BD-31AD7A5603A5}"/>
    <dgm:cxn modelId="{0FAA6D37-DF34-4FC0-8D1B-B3488D50D572}" type="presOf" srcId="{A80A33B1-96E3-4F30-8F76-9A9593792620}" destId="{74667E85-5CEF-4C14-A739-AAB5FC4AAAF3}" srcOrd="0" destOrd="0" presId="urn:microsoft.com/office/officeart/2005/8/layout/process5"/>
    <dgm:cxn modelId="{5675D43B-61C6-46B9-9FA4-E2B8D58AC031}" srcId="{A80A33B1-96E3-4F30-8F76-9A9593792620}" destId="{2EAA320B-C4AD-4416-9F71-478BC25B24EF}" srcOrd="10" destOrd="0" parTransId="{09B20F41-FE7E-49CD-9D64-BAEB46E3D9D0}" sibTransId="{8A34032C-283B-41A4-A29D-1C47C6420988}"/>
    <dgm:cxn modelId="{31ABF63B-FBCE-40BA-9CF5-740990C853EA}" type="presOf" srcId="{689C53D4-AD4A-4E7A-90CD-DBA1B3C89C53}" destId="{3FCCDE22-54C9-4BB1-B669-F40B72E6F868}" srcOrd="1" destOrd="0" presId="urn:microsoft.com/office/officeart/2005/8/layout/process5"/>
    <dgm:cxn modelId="{0F131E5F-A8A3-4CD3-A6FC-BF507521E12B}" type="presOf" srcId="{A284BDDE-2CDA-490E-A9A4-11892C4E196E}" destId="{7D25FBB2-6AC4-4FCE-8381-8B92AD5103B4}" srcOrd="0" destOrd="0" presId="urn:microsoft.com/office/officeart/2005/8/layout/process5"/>
    <dgm:cxn modelId="{EADF3F46-22CC-4654-9ED0-A406FA5C1E8B}" type="presOf" srcId="{42EDF391-4157-49F5-BB2E-0F021FF9262A}" destId="{892A0D2D-3A3F-463F-8998-A43E91FAE57E}" srcOrd="1" destOrd="0" presId="urn:microsoft.com/office/officeart/2005/8/layout/process5"/>
    <dgm:cxn modelId="{42052167-E0AF-4FB2-8764-3072ABD7C4B4}" type="presOf" srcId="{42EDF391-4157-49F5-BB2E-0F021FF9262A}" destId="{791E4784-D713-43B5-9745-595E6B54F1C5}" srcOrd="0" destOrd="0" presId="urn:microsoft.com/office/officeart/2005/8/layout/process5"/>
    <dgm:cxn modelId="{50D5994E-C064-4D24-B558-0A259963DD78}" type="presOf" srcId="{F2AE935C-A530-4904-A7E7-ACB1CFE341D7}" destId="{95AFA99D-07D8-4373-A488-1EC7FEEBE581}" srcOrd="0" destOrd="0" presId="urn:microsoft.com/office/officeart/2005/8/layout/process5"/>
    <dgm:cxn modelId="{6C1F2772-7C4D-4AA4-9FE8-F2AA34E4E72B}" srcId="{A80A33B1-96E3-4F30-8F76-9A9593792620}" destId="{5604001D-7B63-4807-9F3A-9B98B6C7095F}" srcOrd="5" destOrd="0" parTransId="{1C32E345-07D7-4D48-82D8-CA51ED080C34}" sibTransId="{267F596F-947B-4341-A5C4-13562B1BFD81}"/>
    <dgm:cxn modelId="{05DE6673-09A7-4A6E-80FA-E04330AF695D}" type="presOf" srcId="{92FEBF7F-AA5A-4502-85D6-BF29CF125EE0}" destId="{1E90D289-5CFF-4366-A098-1D993954A2E3}" srcOrd="0" destOrd="0" presId="urn:microsoft.com/office/officeart/2005/8/layout/process5"/>
    <dgm:cxn modelId="{C2F89C53-E0DF-425B-9EEC-AE928BEE6AB9}" type="presOf" srcId="{267F596F-947B-4341-A5C4-13562B1BFD81}" destId="{85440EF9-0959-43CF-BCC1-E342963A2CFC}" srcOrd="1" destOrd="0" presId="urn:microsoft.com/office/officeart/2005/8/layout/process5"/>
    <dgm:cxn modelId="{4ACDCF74-86D6-4EF8-842C-D5388BA8AE73}" type="presOf" srcId="{5CF2E0DA-958E-4AD3-B3D7-FB997C45E939}" destId="{B1407EEB-228A-462C-B318-1836266C292D}" srcOrd="0" destOrd="0" presId="urn:microsoft.com/office/officeart/2005/8/layout/process5"/>
    <dgm:cxn modelId="{B6252D7A-964A-4DC2-8E9E-11BF4879AB43}" type="presOf" srcId="{FADA35C5-A927-45A2-A43F-962C0C81F6F0}" destId="{AA53A3CC-9B6D-4CA4-91D9-46A71C995634}" srcOrd="0" destOrd="0" presId="urn:microsoft.com/office/officeart/2005/8/layout/process5"/>
    <dgm:cxn modelId="{D9E82282-6A4F-445A-9891-D3D87C0FB67D}" type="presOf" srcId="{5604001D-7B63-4807-9F3A-9B98B6C7095F}" destId="{41478BBE-BEDE-4FE6-A0C4-20F6F1DD3AFC}" srcOrd="0" destOrd="0" presId="urn:microsoft.com/office/officeart/2005/8/layout/process5"/>
    <dgm:cxn modelId="{21153082-73D3-453D-AAD8-9C423118B8E4}" srcId="{A80A33B1-96E3-4F30-8F76-9A9593792620}" destId="{04566619-6EF9-4182-B2D5-9BEE19735547}" srcOrd="2" destOrd="0" parTransId="{F90D8675-EFFD-4662-ACAE-4B9CC302DD8F}" sibTransId="{A284BDDE-2CDA-490E-A9A4-11892C4E196E}"/>
    <dgm:cxn modelId="{DCE4D984-6E15-4644-90A5-DC1155A51135}" type="presOf" srcId="{04566619-6EF9-4182-B2D5-9BEE19735547}" destId="{1DBFA8EE-8EAF-463B-99FA-4ADBC3198EE0}" srcOrd="0" destOrd="0" presId="urn:microsoft.com/office/officeart/2005/8/layout/process5"/>
    <dgm:cxn modelId="{BA3C1285-DF0D-4D3A-A202-5E569DB50778}" type="presOf" srcId="{7FFCA395-51D0-4D09-83E3-02361EBB005A}" destId="{AFA76281-C679-401D-AA9A-F6BCED2B8ABB}" srcOrd="1" destOrd="0" presId="urn:microsoft.com/office/officeart/2005/8/layout/process5"/>
    <dgm:cxn modelId="{DE175785-1AC6-4E22-90B5-04DBB58D7695}" srcId="{A80A33B1-96E3-4F30-8F76-9A9593792620}" destId="{F2AE935C-A530-4904-A7E7-ACB1CFE341D7}" srcOrd="6" destOrd="0" parTransId="{10C9425E-3D03-4D59-97D0-BEE24BBC3F14}" sibTransId="{5CF2E0DA-958E-4AD3-B3D7-FB997C45E939}"/>
    <dgm:cxn modelId="{847EFD86-DDFD-40E0-AD9D-8ED3DBEE0579}" type="presOf" srcId="{A284BDDE-2CDA-490E-A9A4-11892C4E196E}" destId="{2454F2BF-A356-4015-89D5-7A550D1ECF2F}" srcOrd="1" destOrd="0" presId="urn:microsoft.com/office/officeart/2005/8/layout/process5"/>
    <dgm:cxn modelId="{01F42C88-EC66-49A6-B523-0B032C804C28}" type="presOf" srcId="{E13F4AC1-0FC2-4D7A-B9DA-007D7370D986}" destId="{CFBECC0C-1AE3-4EC3-A63A-ACB3920E1571}" srcOrd="0" destOrd="0" presId="urn:microsoft.com/office/officeart/2005/8/layout/process5"/>
    <dgm:cxn modelId="{F2DC0D92-03B8-4E73-9375-F47A9AE7146F}" srcId="{A80A33B1-96E3-4F30-8F76-9A9593792620}" destId="{95E11CD6-D8B5-4BB4-9600-FA61F5F49A55}" srcOrd="8" destOrd="0" parTransId="{361FD615-714D-4271-A767-5E0F10BB8BE1}" sibTransId="{E9598D33-696B-43C2-B80D-A25B7C7F86E7}"/>
    <dgm:cxn modelId="{F40F159A-072B-4928-AC3A-A2FBF4A0EBB4}" type="presOf" srcId="{225A107B-DE90-446A-8421-9E5798C3F227}" destId="{F5B7E9A4-8CCE-400E-8C1A-A3891C012DE7}" srcOrd="1" destOrd="0" presId="urn:microsoft.com/office/officeart/2005/8/layout/process5"/>
    <dgm:cxn modelId="{65BD1D9B-D5E6-43E9-900E-5920640E05D4}" type="presOf" srcId="{6F6368F2-06E9-48F9-BBD6-EDBD88BA2A54}" destId="{8D2C8DFD-97B6-4542-87C0-E0B4E7516398}" srcOrd="0" destOrd="0" presId="urn:microsoft.com/office/officeart/2005/8/layout/process5"/>
    <dgm:cxn modelId="{18D8159E-9A3C-4A24-946B-4A224D8C1181}" type="presOf" srcId="{267F596F-947B-4341-A5C4-13562B1BFD81}" destId="{DCC590DE-9BFA-4AEF-BC38-77C3878E7786}" srcOrd="0" destOrd="0" presId="urn:microsoft.com/office/officeart/2005/8/layout/process5"/>
    <dgm:cxn modelId="{28C1B59E-DC6C-46A0-93F1-A1EFF07421D4}" type="presOf" srcId="{7FFCA395-51D0-4D09-83E3-02361EBB005A}" destId="{B5D1D8DE-1356-4C9C-A4F1-82B59F515425}" srcOrd="0" destOrd="0" presId="urn:microsoft.com/office/officeart/2005/8/layout/process5"/>
    <dgm:cxn modelId="{C22382A1-8C5C-4D7C-9E3A-1951FA981672}" srcId="{A80A33B1-96E3-4F30-8F76-9A9593792620}" destId="{E13F4AC1-0FC2-4D7A-B9DA-007D7370D986}" srcOrd="1" destOrd="0" parTransId="{C9712198-9632-4979-9DED-9A1B23053133}" sibTransId="{42EDF391-4157-49F5-BB2E-0F021FF9262A}"/>
    <dgm:cxn modelId="{D8B590A7-6D2B-4144-A330-7EFFA7005242}" type="presOf" srcId="{96DB958B-2B5B-4E8A-A7A0-E2FF72D6C811}" destId="{8E67BC05-8A8D-4A96-993E-567DAF8B348B}" srcOrd="0" destOrd="0" presId="urn:microsoft.com/office/officeart/2005/8/layout/process5"/>
    <dgm:cxn modelId="{71B0D3AF-8587-4AD3-9522-2931484638BB}" type="presOf" srcId="{5CF2E0DA-958E-4AD3-B3D7-FB997C45E939}" destId="{98F0D605-8DEB-46A7-8B1A-E511B0C56F5E}" srcOrd="1" destOrd="0" presId="urn:microsoft.com/office/officeart/2005/8/layout/process5"/>
    <dgm:cxn modelId="{6EB002B9-8AA5-4044-9E16-A0F4242771D7}" type="presOf" srcId="{225A107B-DE90-446A-8421-9E5798C3F227}" destId="{0A7ADCED-5487-4419-837E-5EEA1EAFEE17}" srcOrd="0" destOrd="0" presId="urn:microsoft.com/office/officeart/2005/8/layout/process5"/>
    <dgm:cxn modelId="{5B97BABB-CA00-4024-B755-82CA642A4C85}" type="presOf" srcId="{E9598D33-696B-43C2-B80D-A25B7C7F86E7}" destId="{9ABF498A-DDC7-426B-AEEB-CE916D0E3A03}" srcOrd="1" destOrd="0" presId="urn:microsoft.com/office/officeart/2005/8/layout/process5"/>
    <dgm:cxn modelId="{4032D2D0-B37D-4703-B181-F990F6928B22}" type="presOf" srcId="{6F6368F2-06E9-48F9-BBD6-EDBD88BA2A54}" destId="{25F87522-DEF6-42BC-8029-825F71B895BC}" srcOrd="1" destOrd="0" presId="urn:microsoft.com/office/officeart/2005/8/layout/process5"/>
    <dgm:cxn modelId="{1187D7DD-CFDF-4E31-AEDC-327AF5698A3F}" type="presOf" srcId="{EC82F3E8-2CEF-41D5-BFA9-7FEBB39B03CF}" destId="{20F4674C-368B-4A6A-8E1C-5696B6904034}" srcOrd="0" destOrd="0" presId="urn:microsoft.com/office/officeart/2005/8/layout/process5"/>
    <dgm:cxn modelId="{4127A1DE-A670-4702-A653-A1B72CDBD57B}" type="presOf" srcId="{30951D3E-C658-4038-947D-509D13B7FCFA}" destId="{72B0981F-F166-410E-8BE0-3D7707FC7D94}" srcOrd="0" destOrd="0" presId="urn:microsoft.com/office/officeart/2005/8/layout/process5"/>
    <dgm:cxn modelId="{232C13E0-118E-4C29-8DC0-D9F173954634}" type="presOf" srcId="{C15BE758-33D4-43F1-BE54-E542B2B50BE8}" destId="{325A4A05-2F82-4F7C-A842-EABBEA667D07}" srcOrd="0" destOrd="0" presId="urn:microsoft.com/office/officeart/2005/8/layout/process5"/>
    <dgm:cxn modelId="{5609BBE2-798D-4164-BCAE-C0BF04BAAA2C}" type="presOf" srcId="{2EAA320B-C4AD-4416-9F71-478BC25B24EF}" destId="{4DA1F20F-4705-4D4B-A3D3-598792FDDA0A}" srcOrd="0" destOrd="0" presId="urn:microsoft.com/office/officeart/2005/8/layout/process5"/>
    <dgm:cxn modelId="{02402DEE-0432-4B34-86F1-69F7F2012AE4}" type="presOf" srcId="{918FA49C-789A-4E07-BDDE-81C35EEE0371}" destId="{7EE358B6-D000-43CC-952B-218A3885B3CD}" srcOrd="0" destOrd="0" presId="urn:microsoft.com/office/officeart/2005/8/layout/process5"/>
    <dgm:cxn modelId="{74B76EF0-7C95-40CC-9FDC-F7D8F9321628}" srcId="{A80A33B1-96E3-4F30-8F76-9A9593792620}" destId="{30951D3E-C658-4038-947D-509D13B7FCFA}" srcOrd="9" destOrd="0" parTransId="{7A5E9FEE-6352-43E3-A7D8-E30F4D0CF7A1}" sibTransId="{689C53D4-AD4A-4E7A-90CD-DBA1B3C89C53}"/>
    <dgm:cxn modelId="{D49F72F2-E19A-486D-87D5-16EB68EA5035}" type="presOf" srcId="{FADA35C5-A927-45A2-A43F-962C0C81F6F0}" destId="{0821A50B-EA3B-4224-AFB9-46522517324F}" srcOrd="1" destOrd="0" presId="urn:microsoft.com/office/officeart/2005/8/layout/process5"/>
    <dgm:cxn modelId="{2BBAF8F7-DEE0-4F52-A7C4-BED68FF70D91}" srcId="{A80A33B1-96E3-4F30-8F76-9A9593792620}" destId="{EC82F3E8-2CEF-41D5-BFA9-7FEBB39B03CF}" srcOrd="0" destOrd="0" parTransId="{5462E445-9BD9-42F0-A8B2-F0DA4A734044}" sibTransId="{6F6368F2-06E9-48F9-BBD6-EDBD88BA2A54}"/>
    <dgm:cxn modelId="{B19464FB-C9CE-46B9-9445-AC6F684B1A38}" type="presOf" srcId="{95E11CD6-D8B5-4BB4-9600-FA61F5F49A55}" destId="{7B6776DC-8309-446F-929C-2B7C809090A0}" srcOrd="0" destOrd="0" presId="urn:microsoft.com/office/officeart/2005/8/layout/process5"/>
    <dgm:cxn modelId="{94656BFC-E2B5-49C1-8286-E6D21221ADAA}" type="presOf" srcId="{689C53D4-AD4A-4E7A-90CD-DBA1B3C89C53}" destId="{A22331AE-A7F4-4EDF-9778-70469B5C9A65}" srcOrd="0" destOrd="0" presId="urn:microsoft.com/office/officeart/2005/8/layout/process5"/>
    <dgm:cxn modelId="{6F545DFD-FB48-408E-ADD8-7495062037B7}" srcId="{A80A33B1-96E3-4F30-8F76-9A9593792620}" destId="{C15BE758-33D4-43F1-BE54-E542B2B50BE8}" srcOrd="3" destOrd="0" parTransId="{AFFF65FE-E12A-4436-813A-AFD56C59CA13}" sibTransId="{225A107B-DE90-446A-8421-9E5798C3F227}"/>
    <dgm:cxn modelId="{62AF6BFE-39A3-452E-98A0-EDF74EF51D04}" type="presOf" srcId="{8A34032C-283B-41A4-A29D-1C47C6420988}" destId="{0F08ED1C-95EA-4526-B65B-730DB7A8FA63}" srcOrd="0" destOrd="0" presId="urn:microsoft.com/office/officeart/2005/8/layout/process5"/>
    <dgm:cxn modelId="{D188EF7D-F5C3-4249-9328-B3566771AB3D}" type="presParOf" srcId="{74667E85-5CEF-4C14-A739-AAB5FC4AAAF3}" destId="{20F4674C-368B-4A6A-8E1C-5696B6904034}" srcOrd="0" destOrd="0" presId="urn:microsoft.com/office/officeart/2005/8/layout/process5"/>
    <dgm:cxn modelId="{DEE22CAD-4417-450B-AEB2-A4C3A3CA5C1B}" type="presParOf" srcId="{74667E85-5CEF-4C14-A739-AAB5FC4AAAF3}" destId="{8D2C8DFD-97B6-4542-87C0-E0B4E7516398}" srcOrd="1" destOrd="0" presId="urn:microsoft.com/office/officeart/2005/8/layout/process5"/>
    <dgm:cxn modelId="{9E527F2A-ACDA-4BC7-A261-3FBD87933DF8}" type="presParOf" srcId="{8D2C8DFD-97B6-4542-87C0-E0B4E7516398}" destId="{25F87522-DEF6-42BC-8029-825F71B895BC}" srcOrd="0" destOrd="0" presId="urn:microsoft.com/office/officeart/2005/8/layout/process5"/>
    <dgm:cxn modelId="{AAE54A4E-6D93-4E04-BD70-3E1576A25526}" type="presParOf" srcId="{74667E85-5CEF-4C14-A739-AAB5FC4AAAF3}" destId="{CFBECC0C-1AE3-4EC3-A63A-ACB3920E1571}" srcOrd="2" destOrd="0" presId="urn:microsoft.com/office/officeart/2005/8/layout/process5"/>
    <dgm:cxn modelId="{C1EB1BCF-24E1-436A-B51F-F5E481968359}" type="presParOf" srcId="{74667E85-5CEF-4C14-A739-AAB5FC4AAAF3}" destId="{791E4784-D713-43B5-9745-595E6B54F1C5}" srcOrd="3" destOrd="0" presId="urn:microsoft.com/office/officeart/2005/8/layout/process5"/>
    <dgm:cxn modelId="{CD22CE60-E126-4E5D-B2D2-A90FAE3E9E8E}" type="presParOf" srcId="{791E4784-D713-43B5-9745-595E6B54F1C5}" destId="{892A0D2D-3A3F-463F-8998-A43E91FAE57E}" srcOrd="0" destOrd="0" presId="urn:microsoft.com/office/officeart/2005/8/layout/process5"/>
    <dgm:cxn modelId="{A7EF47D4-7FA5-4310-BBA7-3A41A8A48BF1}" type="presParOf" srcId="{74667E85-5CEF-4C14-A739-AAB5FC4AAAF3}" destId="{1DBFA8EE-8EAF-463B-99FA-4ADBC3198EE0}" srcOrd="4" destOrd="0" presId="urn:microsoft.com/office/officeart/2005/8/layout/process5"/>
    <dgm:cxn modelId="{1A2E8714-8E98-4976-AA88-9AF3B47D962E}" type="presParOf" srcId="{74667E85-5CEF-4C14-A739-AAB5FC4AAAF3}" destId="{7D25FBB2-6AC4-4FCE-8381-8B92AD5103B4}" srcOrd="5" destOrd="0" presId="urn:microsoft.com/office/officeart/2005/8/layout/process5"/>
    <dgm:cxn modelId="{5B9267CF-F9FD-46B1-B531-5C9D46287B02}" type="presParOf" srcId="{7D25FBB2-6AC4-4FCE-8381-8B92AD5103B4}" destId="{2454F2BF-A356-4015-89D5-7A550D1ECF2F}" srcOrd="0" destOrd="0" presId="urn:microsoft.com/office/officeart/2005/8/layout/process5"/>
    <dgm:cxn modelId="{24E90180-92C9-4E96-A012-D1581442C1F8}" type="presParOf" srcId="{74667E85-5CEF-4C14-A739-AAB5FC4AAAF3}" destId="{325A4A05-2F82-4F7C-A842-EABBEA667D07}" srcOrd="6" destOrd="0" presId="urn:microsoft.com/office/officeart/2005/8/layout/process5"/>
    <dgm:cxn modelId="{830B86D9-0D32-45D8-A0A6-3D9B043E5EA2}" type="presParOf" srcId="{74667E85-5CEF-4C14-A739-AAB5FC4AAAF3}" destId="{0A7ADCED-5487-4419-837E-5EEA1EAFEE17}" srcOrd="7" destOrd="0" presId="urn:microsoft.com/office/officeart/2005/8/layout/process5"/>
    <dgm:cxn modelId="{FB843477-8E6A-4214-9B1D-665FFDAA9FB3}" type="presParOf" srcId="{0A7ADCED-5487-4419-837E-5EEA1EAFEE17}" destId="{F5B7E9A4-8CCE-400E-8C1A-A3891C012DE7}" srcOrd="0" destOrd="0" presId="urn:microsoft.com/office/officeart/2005/8/layout/process5"/>
    <dgm:cxn modelId="{F8FC2052-BC5A-4E73-86EC-9F7A2126B6B2}" type="presParOf" srcId="{74667E85-5CEF-4C14-A739-AAB5FC4AAAF3}" destId="{1E90D289-5CFF-4366-A098-1D993954A2E3}" srcOrd="8" destOrd="0" presId="urn:microsoft.com/office/officeart/2005/8/layout/process5"/>
    <dgm:cxn modelId="{DABEC895-F767-499A-973A-B80E6E70BE43}" type="presParOf" srcId="{74667E85-5CEF-4C14-A739-AAB5FC4AAAF3}" destId="{AA53A3CC-9B6D-4CA4-91D9-46A71C995634}" srcOrd="9" destOrd="0" presId="urn:microsoft.com/office/officeart/2005/8/layout/process5"/>
    <dgm:cxn modelId="{246CE78F-7E62-4091-9DE3-504A04ED3BCE}" type="presParOf" srcId="{AA53A3CC-9B6D-4CA4-91D9-46A71C995634}" destId="{0821A50B-EA3B-4224-AFB9-46522517324F}" srcOrd="0" destOrd="0" presId="urn:microsoft.com/office/officeart/2005/8/layout/process5"/>
    <dgm:cxn modelId="{D3940B7C-3BF1-4D3D-B385-B577CD992263}" type="presParOf" srcId="{74667E85-5CEF-4C14-A739-AAB5FC4AAAF3}" destId="{41478BBE-BEDE-4FE6-A0C4-20F6F1DD3AFC}" srcOrd="10" destOrd="0" presId="urn:microsoft.com/office/officeart/2005/8/layout/process5"/>
    <dgm:cxn modelId="{3B40FD26-5C6A-48B0-B729-8C1ADF9A0D87}" type="presParOf" srcId="{74667E85-5CEF-4C14-A739-AAB5FC4AAAF3}" destId="{DCC590DE-9BFA-4AEF-BC38-77C3878E7786}" srcOrd="11" destOrd="0" presId="urn:microsoft.com/office/officeart/2005/8/layout/process5"/>
    <dgm:cxn modelId="{D08CB63B-BEFC-4506-B929-DC32B5336ACD}" type="presParOf" srcId="{DCC590DE-9BFA-4AEF-BC38-77C3878E7786}" destId="{85440EF9-0959-43CF-BCC1-E342963A2CFC}" srcOrd="0" destOrd="0" presId="urn:microsoft.com/office/officeart/2005/8/layout/process5"/>
    <dgm:cxn modelId="{671AD567-F9C4-465C-87CA-047EE50D7607}" type="presParOf" srcId="{74667E85-5CEF-4C14-A739-AAB5FC4AAAF3}" destId="{95AFA99D-07D8-4373-A488-1EC7FEEBE581}" srcOrd="12" destOrd="0" presId="urn:microsoft.com/office/officeart/2005/8/layout/process5"/>
    <dgm:cxn modelId="{9B40A895-80D0-41CB-BEB1-D0291A8F98AC}" type="presParOf" srcId="{74667E85-5CEF-4C14-A739-AAB5FC4AAAF3}" destId="{B1407EEB-228A-462C-B318-1836266C292D}" srcOrd="13" destOrd="0" presId="urn:microsoft.com/office/officeart/2005/8/layout/process5"/>
    <dgm:cxn modelId="{0B0817C3-2AFC-4AC2-A579-FDA5046DD7BB}" type="presParOf" srcId="{B1407EEB-228A-462C-B318-1836266C292D}" destId="{98F0D605-8DEB-46A7-8B1A-E511B0C56F5E}" srcOrd="0" destOrd="0" presId="urn:microsoft.com/office/officeart/2005/8/layout/process5"/>
    <dgm:cxn modelId="{8329191E-886A-439B-AFBD-A73A531A5B65}" type="presParOf" srcId="{74667E85-5CEF-4C14-A739-AAB5FC4AAAF3}" destId="{8E67BC05-8A8D-4A96-993E-567DAF8B348B}" srcOrd="14" destOrd="0" presId="urn:microsoft.com/office/officeart/2005/8/layout/process5"/>
    <dgm:cxn modelId="{785DCC81-53D9-4664-86E1-FE784C9ACB6D}" type="presParOf" srcId="{74667E85-5CEF-4C14-A739-AAB5FC4AAAF3}" destId="{B5D1D8DE-1356-4C9C-A4F1-82B59F515425}" srcOrd="15" destOrd="0" presId="urn:microsoft.com/office/officeart/2005/8/layout/process5"/>
    <dgm:cxn modelId="{C217D3F3-3991-4593-B068-985F047FA703}" type="presParOf" srcId="{B5D1D8DE-1356-4C9C-A4F1-82B59F515425}" destId="{AFA76281-C679-401D-AA9A-F6BCED2B8ABB}" srcOrd="0" destOrd="0" presId="urn:microsoft.com/office/officeart/2005/8/layout/process5"/>
    <dgm:cxn modelId="{6D9C21D0-2DC8-4029-B873-B0D3A264C85F}" type="presParOf" srcId="{74667E85-5CEF-4C14-A739-AAB5FC4AAAF3}" destId="{7B6776DC-8309-446F-929C-2B7C809090A0}" srcOrd="16" destOrd="0" presId="urn:microsoft.com/office/officeart/2005/8/layout/process5"/>
    <dgm:cxn modelId="{9728F3B0-15EC-4B25-B42D-8FEA1A3943DA}" type="presParOf" srcId="{74667E85-5CEF-4C14-A739-AAB5FC4AAAF3}" destId="{E241568D-2AEF-4481-92D6-137BECCDF063}" srcOrd="17" destOrd="0" presId="urn:microsoft.com/office/officeart/2005/8/layout/process5"/>
    <dgm:cxn modelId="{BECFAC3A-43CD-476E-A7EB-845484D1F468}" type="presParOf" srcId="{E241568D-2AEF-4481-92D6-137BECCDF063}" destId="{9ABF498A-DDC7-426B-AEEB-CE916D0E3A03}" srcOrd="0" destOrd="0" presId="urn:microsoft.com/office/officeart/2005/8/layout/process5"/>
    <dgm:cxn modelId="{0D73DBE3-DFA6-441A-8FAF-46444A1610FD}" type="presParOf" srcId="{74667E85-5CEF-4C14-A739-AAB5FC4AAAF3}" destId="{72B0981F-F166-410E-8BE0-3D7707FC7D94}" srcOrd="18" destOrd="0" presId="urn:microsoft.com/office/officeart/2005/8/layout/process5"/>
    <dgm:cxn modelId="{A7361BFC-91A8-48CE-9FF8-B71AEB3C0199}" type="presParOf" srcId="{74667E85-5CEF-4C14-A739-AAB5FC4AAAF3}" destId="{A22331AE-A7F4-4EDF-9778-70469B5C9A65}" srcOrd="19" destOrd="0" presId="urn:microsoft.com/office/officeart/2005/8/layout/process5"/>
    <dgm:cxn modelId="{49F6E072-5E33-45DF-9466-7E30F67F43EA}" type="presParOf" srcId="{A22331AE-A7F4-4EDF-9778-70469B5C9A65}" destId="{3FCCDE22-54C9-4BB1-B669-F40B72E6F868}" srcOrd="0" destOrd="0" presId="urn:microsoft.com/office/officeart/2005/8/layout/process5"/>
    <dgm:cxn modelId="{D864DAA6-61C2-4238-9515-77B89904581D}" type="presParOf" srcId="{74667E85-5CEF-4C14-A739-AAB5FC4AAAF3}" destId="{4DA1F20F-4705-4D4B-A3D3-598792FDDA0A}" srcOrd="20" destOrd="0" presId="urn:microsoft.com/office/officeart/2005/8/layout/process5"/>
    <dgm:cxn modelId="{5EF156AA-D346-4D64-BDE0-5145746B513C}" type="presParOf" srcId="{74667E85-5CEF-4C14-A739-AAB5FC4AAAF3}" destId="{0F08ED1C-95EA-4526-B65B-730DB7A8FA63}" srcOrd="21" destOrd="0" presId="urn:microsoft.com/office/officeart/2005/8/layout/process5"/>
    <dgm:cxn modelId="{0455885B-F589-4D3E-AE89-69DC7E29EBE7}" type="presParOf" srcId="{0F08ED1C-95EA-4526-B65B-730DB7A8FA63}" destId="{D85EB6A4-5BA6-4120-B9E1-BFBEBEAF6655}" srcOrd="0" destOrd="0" presId="urn:microsoft.com/office/officeart/2005/8/layout/process5"/>
    <dgm:cxn modelId="{F2CC9031-2544-4D42-ADA7-01036FF55959}" type="presParOf" srcId="{74667E85-5CEF-4C14-A739-AAB5FC4AAAF3}" destId="{7EE358B6-D000-43CC-952B-218A3885B3CD}" srcOrd="22" destOrd="0" presId="urn:microsoft.com/office/officeart/2005/8/layout/process5"/>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11.xml><?xml version="1.0" encoding="utf-8"?>
<dgm:dataModel xmlns:dgm="http://schemas.openxmlformats.org/drawingml/2006/diagram" xmlns:a="http://schemas.openxmlformats.org/drawingml/2006/main">
  <dgm:ptLst>
    <dgm:pt modelId="{04C6B1E6-9E0A-4CEF-A498-7C126ED0BE42}" type="doc">
      <dgm:prSet loTypeId="urn:microsoft.com/office/officeart/2005/8/layout/bProcess3" loCatId="process" qsTypeId="urn:microsoft.com/office/officeart/2005/8/quickstyle/simple1" qsCatId="simple" csTypeId="urn:microsoft.com/office/officeart/2005/8/colors/accent1_2" csCatId="accent1" phldr="1"/>
      <dgm:spPr/>
      <dgm:t>
        <a:bodyPr/>
        <a:lstStyle/>
        <a:p>
          <a:endParaRPr lang="en-AU"/>
        </a:p>
      </dgm:t>
    </dgm:pt>
    <dgm:pt modelId="{963A69D2-B0BF-4F47-AADD-6793B3E116AD}">
      <dgm:prSet phldrT="[Text]"/>
      <dgm:spPr>
        <a:solidFill>
          <a:srgbClr val="F25022"/>
        </a:solidFill>
      </dgm:spPr>
      <dgm:t>
        <a:bodyPr/>
        <a:lstStyle/>
        <a:p>
          <a:pPr>
            <a:buFont typeface="+mj-lt"/>
            <a:buAutoNum type="arabicPeriod"/>
          </a:pPr>
          <a:r>
            <a:rPr lang="en-AU" b="0" i="0"/>
            <a:t>Step 1: UAT Test Plan is executed in full to validate the current status and duration for each UAT activity</a:t>
          </a:r>
          <a:endParaRPr lang="en-AU"/>
        </a:p>
      </dgm:t>
    </dgm:pt>
    <dgm:pt modelId="{AFFC7BAD-A2D6-41C0-A31B-DA8B1BA5D657}" type="parTrans" cxnId="{D87B128D-0F9B-411A-966A-0387A6512372}">
      <dgm:prSet/>
      <dgm:spPr/>
      <dgm:t>
        <a:bodyPr/>
        <a:lstStyle/>
        <a:p>
          <a:endParaRPr lang="en-AU"/>
        </a:p>
      </dgm:t>
    </dgm:pt>
    <dgm:pt modelId="{A31256D2-2C7A-42C9-AB0F-444718E2B4C6}" type="sibTrans" cxnId="{D87B128D-0F9B-411A-966A-0387A6512372}">
      <dgm:prSet/>
      <dgm:spPr/>
      <dgm:t>
        <a:bodyPr/>
        <a:lstStyle/>
        <a:p>
          <a:endParaRPr lang="en-AU"/>
        </a:p>
      </dgm:t>
    </dgm:pt>
    <dgm:pt modelId="{D2012ABF-9672-4A2D-B68D-5E2D95858A23}">
      <dgm:prSet phldrT="[Text]"/>
      <dgm:spPr>
        <a:solidFill>
          <a:srgbClr val="FFB900"/>
        </a:solidFill>
      </dgm:spPr>
      <dgm:t>
        <a:bodyPr/>
        <a:lstStyle/>
        <a:p>
          <a:pPr>
            <a:buFont typeface="+mj-lt"/>
            <a:buAutoNum type="arabicPeriod"/>
          </a:pPr>
          <a:r>
            <a:rPr lang="en-AU">
              <a:solidFill>
                <a:sysClr val="windowText" lastClr="000000"/>
              </a:solidFill>
            </a:rPr>
            <a:t>Step 2: BCDR Engineer starts Chaos Experiment to stop the app service in the primary region</a:t>
          </a:r>
        </a:p>
      </dgm:t>
    </dgm:pt>
    <dgm:pt modelId="{0D2D9183-EF57-4FFC-849A-0867A83A2B02}" type="parTrans" cxnId="{A353CE53-1A45-41C8-9AED-27CF452E64A9}">
      <dgm:prSet/>
      <dgm:spPr/>
      <dgm:t>
        <a:bodyPr/>
        <a:lstStyle/>
        <a:p>
          <a:endParaRPr lang="en-AU"/>
        </a:p>
      </dgm:t>
    </dgm:pt>
    <dgm:pt modelId="{EC662882-0C55-42A2-BD57-FF503F27B004}" type="sibTrans" cxnId="{A353CE53-1A45-41C8-9AED-27CF452E64A9}">
      <dgm:prSet/>
      <dgm:spPr/>
      <dgm:t>
        <a:bodyPr/>
        <a:lstStyle/>
        <a:p>
          <a:endParaRPr lang="en-AU"/>
        </a:p>
      </dgm:t>
    </dgm:pt>
    <dgm:pt modelId="{0147CA23-E949-40FE-8A67-B6F0E9ABAB3D}">
      <dgm:prSet phldrT="[Text]"/>
      <dgm:spPr>
        <a:solidFill>
          <a:srgbClr val="00A4EF"/>
        </a:solidFill>
      </dgm:spPr>
      <dgm:t>
        <a:bodyPr/>
        <a:lstStyle/>
        <a:p>
          <a:pPr>
            <a:buFont typeface="+mj-lt"/>
            <a:buAutoNum type="arabicPeriod"/>
          </a:pPr>
          <a:r>
            <a:rPr lang="en-AU">
              <a:solidFill>
                <a:sysClr val="windowText" lastClr="000000"/>
              </a:solidFill>
            </a:rPr>
            <a:t>Step 4: BCDR Engineer confirms that App Service in the standby region is online and accepting traffic</a:t>
          </a:r>
        </a:p>
      </dgm:t>
    </dgm:pt>
    <dgm:pt modelId="{C2F678B5-E074-4731-9C0F-36EC378C1E4C}" type="parTrans" cxnId="{E3386F48-BA2E-4047-B238-37713A5DA40F}">
      <dgm:prSet/>
      <dgm:spPr/>
      <dgm:t>
        <a:bodyPr/>
        <a:lstStyle/>
        <a:p>
          <a:endParaRPr lang="en-AU"/>
        </a:p>
      </dgm:t>
    </dgm:pt>
    <dgm:pt modelId="{92DA0C7A-CBC0-400A-8913-17743B937DC6}" type="sibTrans" cxnId="{E3386F48-BA2E-4047-B238-37713A5DA40F}">
      <dgm:prSet/>
      <dgm:spPr/>
      <dgm:t>
        <a:bodyPr/>
        <a:lstStyle/>
        <a:p>
          <a:endParaRPr lang="en-AU"/>
        </a:p>
      </dgm:t>
    </dgm:pt>
    <dgm:pt modelId="{151A6EC2-2397-447D-A3B6-C33187B64834}">
      <dgm:prSet phldrT="[Text]"/>
      <dgm:spPr>
        <a:solidFill>
          <a:srgbClr val="F25022"/>
        </a:solidFill>
      </dgm:spPr>
      <dgm:t>
        <a:bodyPr/>
        <a:lstStyle/>
        <a:p>
          <a:pPr>
            <a:buFont typeface="+mj-lt"/>
            <a:buAutoNum type="arabicPeriod"/>
          </a:pPr>
          <a:r>
            <a:rPr lang="en-AU">
              <a:solidFill>
                <a:schemeClr val="bg1"/>
              </a:solidFill>
            </a:rPr>
            <a:t>Step 5: BCDR Engineer confirms that Front Door is now routing traffic to the secondary region</a:t>
          </a:r>
        </a:p>
      </dgm:t>
    </dgm:pt>
    <dgm:pt modelId="{C77B53E5-E009-4569-B4F7-42DA73907E75}" type="parTrans" cxnId="{E1DCF730-A482-4C15-B70B-56B52D24DE8B}">
      <dgm:prSet/>
      <dgm:spPr/>
      <dgm:t>
        <a:bodyPr/>
        <a:lstStyle/>
        <a:p>
          <a:endParaRPr lang="en-AU"/>
        </a:p>
      </dgm:t>
    </dgm:pt>
    <dgm:pt modelId="{60F6F0B4-D524-4819-9788-8EF97DAB079A}" type="sibTrans" cxnId="{E1DCF730-A482-4C15-B70B-56B52D24DE8B}">
      <dgm:prSet/>
      <dgm:spPr/>
      <dgm:t>
        <a:bodyPr/>
        <a:lstStyle/>
        <a:p>
          <a:endParaRPr lang="en-AU"/>
        </a:p>
      </dgm:t>
    </dgm:pt>
    <dgm:pt modelId="{EE3D423D-BE48-472E-9471-C8BFD93FBBF2}">
      <dgm:prSet phldrT="[Text]"/>
      <dgm:spPr>
        <a:solidFill>
          <a:srgbClr val="7FBA00"/>
        </a:solidFill>
      </dgm:spPr>
      <dgm:t>
        <a:bodyPr/>
        <a:lstStyle/>
        <a:p>
          <a:pPr>
            <a:buFont typeface="+mj-lt"/>
            <a:buAutoNum type="arabicPeriod"/>
          </a:pPr>
          <a:r>
            <a:rPr lang="en-AU" b="0" i="0">
              <a:solidFill>
                <a:sysClr val="windowText" lastClr="000000"/>
              </a:solidFill>
            </a:rPr>
            <a:t>Step 3: UAT Test Plan is executed again in full to validate the failed over status and duration for each step</a:t>
          </a:r>
          <a:endParaRPr lang="en-AU">
            <a:solidFill>
              <a:sysClr val="windowText" lastClr="000000"/>
            </a:solidFill>
          </a:endParaRPr>
        </a:p>
      </dgm:t>
    </dgm:pt>
    <dgm:pt modelId="{88AE06E9-EFCD-45D3-9810-706EC996D967}" type="parTrans" cxnId="{740A7D36-3633-46C5-B559-E513EB4BC218}">
      <dgm:prSet/>
      <dgm:spPr/>
      <dgm:t>
        <a:bodyPr/>
        <a:lstStyle/>
        <a:p>
          <a:endParaRPr lang="en-AU"/>
        </a:p>
      </dgm:t>
    </dgm:pt>
    <dgm:pt modelId="{C33A5CA0-BBD9-4E30-9F95-34FB55A84C68}" type="sibTrans" cxnId="{740A7D36-3633-46C5-B559-E513EB4BC218}">
      <dgm:prSet/>
      <dgm:spPr/>
      <dgm:t>
        <a:bodyPr/>
        <a:lstStyle/>
        <a:p>
          <a:endParaRPr lang="en-AU"/>
        </a:p>
      </dgm:t>
    </dgm:pt>
    <dgm:pt modelId="{D551F121-6D5A-4B39-B36A-BE8BA053C7EC}">
      <dgm:prSet phldrT="[Text]"/>
      <dgm:spPr>
        <a:solidFill>
          <a:srgbClr val="7FBA00"/>
        </a:solidFill>
      </dgm:spPr>
      <dgm:t>
        <a:bodyPr/>
        <a:lstStyle/>
        <a:p>
          <a:pPr>
            <a:buFont typeface="+mj-lt"/>
            <a:buAutoNum type="arabicPeriod"/>
          </a:pPr>
          <a:r>
            <a:rPr lang="en-AU">
              <a:solidFill>
                <a:sysClr val="windowText" lastClr="000000"/>
              </a:solidFill>
            </a:rPr>
            <a:t>Step 8: </a:t>
          </a:r>
          <a:r>
            <a:rPr lang="en-AU" b="0" i="0">
              <a:solidFill>
                <a:sysClr val="windowText" lastClr="000000"/>
              </a:solidFill>
            </a:rPr>
            <a:t>BCDR Engineer updates -</a:t>
          </a:r>
          <a:endParaRPr lang="en-AU">
            <a:solidFill>
              <a:sysClr val="windowText" lastClr="000000"/>
            </a:solidFill>
          </a:endParaRPr>
        </a:p>
      </dgm:t>
    </dgm:pt>
    <dgm:pt modelId="{489FA5C1-84E4-473F-8E56-7460FFC3FEE9}" type="parTrans" cxnId="{99CE1F29-EF2C-45AC-B065-715B0FE20155}">
      <dgm:prSet/>
      <dgm:spPr/>
      <dgm:t>
        <a:bodyPr/>
        <a:lstStyle/>
        <a:p>
          <a:endParaRPr lang="en-AU"/>
        </a:p>
      </dgm:t>
    </dgm:pt>
    <dgm:pt modelId="{A0C5743F-1863-40F1-B7A8-8A4F4D07C473}" type="sibTrans" cxnId="{99CE1F29-EF2C-45AC-B065-715B0FE20155}">
      <dgm:prSet/>
      <dgm:spPr/>
      <dgm:t>
        <a:bodyPr/>
        <a:lstStyle/>
        <a:p>
          <a:endParaRPr lang="en-AU"/>
        </a:p>
      </dgm:t>
    </dgm:pt>
    <dgm:pt modelId="{CBC50B14-747C-40AF-88E6-BBF427A4821B}">
      <dgm:prSet phldrT="[Text]"/>
      <dgm:spPr>
        <a:solidFill>
          <a:srgbClr val="7FBA00"/>
        </a:solidFill>
      </dgm:spPr>
      <dgm:t>
        <a:bodyPr/>
        <a:lstStyle/>
        <a:p>
          <a:pPr>
            <a:buFont typeface="+mj-lt"/>
            <a:buAutoNum type="arabicPeriod"/>
          </a:pPr>
          <a:r>
            <a:rPr lang="en-AU" b="0" i="0">
              <a:solidFill>
                <a:sysClr val="windowText" lastClr="000000"/>
              </a:solidFill>
            </a:rPr>
            <a:t>Application Test Plan Summary</a:t>
          </a:r>
          <a:endParaRPr lang="en-AU">
            <a:solidFill>
              <a:sysClr val="windowText" lastClr="000000"/>
            </a:solidFill>
          </a:endParaRPr>
        </a:p>
      </dgm:t>
    </dgm:pt>
    <dgm:pt modelId="{B7F76608-6ED0-44A2-95E6-98D90FC2166C}" type="parTrans" cxnId="{F4F75EBD-9894-4E51-81D5-EAA180F85934}">
      <dgm:prSet/>
      <dgm:spPr/>
      <dgm:t>
        <a:bodyPr/>
        <a:lstStyle/>
        <a:p>
          <a:endParaRPr lang="en-AU"/>
        </a:p>
      </dgm:t>
    </dgm:pt>
    <dgm:pt modelId="{6A746AE8-10EF-44FE-8CA1-162178BE7333}" type="sibTrans" cxnId="{F4F75EBD-9894-4E51-81D5-EAA180F85934}">
      <dgm:prSet/>
      <dgm:spPr/>
      <dgm:t>
        <a:bodyPr/>
        <a:lstStyle/>
        <a:p>
          <a:endParaRPr lang="en-AU"/>
        </a:p>
      </dgm:t>
    </dgm:pt>
    <dgm:pt modelId="{2B852354-5A87-4B03-95E8-4CA43F4D11D5}">
      <dgm:prSet phldrT="[Text]"/>
      <dgm:spPr>
        <a:solidFill>
          <a:srgbClr val="7FBA00"/>
        </a:solidFill>
      </dgm:spPr>
      <dgm:t>
        <a:bodyPr/>
        <a:lstStyle/>
        <a:p>
          <a:pPr>
            <a:buFont typeface="+mj-lt"/>
            <a:buAutoNum type="arabicPeriod"/>
          </a:pPr>
          <a:r>
            <a:rPr lang="en-AU" b="0" i="0">
              <a:solidFill>
                <a:sysClr val="windowText" lastClr="000000"/>
              </a:solidFill>
            </a:rPr>
            <a:t>BCDR Dashboard</a:t>
          </a:r>
          <a:endParaRPr lang="en-AU">
            <a:solidFill>
              <a:sysClr val="windowText" lastClr="000000"/>
            </a:solidFill>
          </a:endParaRPr>
        </a:p>
      </dgm:t>
    </dgm:pt>
    <dgm:pt modelId="{42866F81-D45B-452D-BC08-7228C5F9C8E1}" type="parTrans" cxnId="{5219C786-0226-40DE-9633-EBF879A7FD17}">
      <dgm:prSet/>
      <dgm:spPr/>
      <dgm:t>
        <a:bodyPr/>
        <a:lstStyle/>
        <a:p>
          <a:endParaRPr lang="en-AU"/>
        </a:p>
      </dgm:t>
    </dgm:pt>
    <dgm:pt modelId="{F6D471F3-B22A-45B4-BAFD-23AF20F4BAC4}" type="sibTrans" cxnId="{5219C786-0226-40DE-9633-EBF879A7FD17}">
      <dgm:prSet/>
      <dgm:spPr/>
      <dgm:t>
        <a:bodyPr/>
        <a:lstStyle/>
        <a:p>
          <a:endParaRPr lang="en-AU"/>
        </a:p>
      </dgm:t>
    </dgm:pt>
    <dgm:pt modelId="{7EA2D25D-8F04-4271-913C-A84B170CDFF7}">
      <dgm:prSet phldrT="[Text]"/>
      <dgm:spPr>
        <a:solidFill>
          <a:srgbClr val="7FBA00"/>
        </a:solidFill>
      </dgm:spPr>
      <dgm:t>
        <a:bodyPr/>
        <a:lstStyle/>
        <a:p>
          <a:pPr>
            <a:buFont typeface="+mj-lt"/>
            <a:buAutoNum type="arabicPeriod"/>
          </a:pPr>
          <a:r>
            <a:rPr lang="en-AU">
              <a:solidFill>
                <a:sysClr val="windowText" lastClr="000000"/>
              </a:solidFill>
            </a:rPr>
            <a:t>Application Business Impact Assessment</a:t>
          </a:r>
        </a:p>
      </dgm:t>
    </dgm:pt>
    <dgm:pt modelId="{F2382E6D-15C4-4264-8091-337776697B95}" type="parTrans" cxnId="{0C11581F-448A-44D6-8EB5-81A1C80DC01D}">
      <dgm:prSet/>
      <dgm:spPr/>
      <dgm:t>
        <a:bodyPr/>
        <a:lstStyle/>
        <a:p>
          <a:endParaRPr lang="en-AU"/>
        </a:p>
      </dgm:t>
    </dgm:pt>
    <dgm:pt modelId="{5905F432-D394-4712-97A7-BB67457C0A44}" type="sibTrans" cxnId="{0C11581F-448A-44D6-8EB5-81A1C80DC01D}">
      <dgm:prSet/>
      <dgm:spPr/>
      <dgm:t>
        <a:bodyPr/>
        <a:lstStyle/>
        <a:p>
          <a:endParaRPr lang="en-AU"/>
        </a:p>
      </dgm:t>
    </dgm:pt>
    <dgm:pt modelId="{9C87E151-1288-4DA1-9D51-8454172F8975}">
      <dgm:prSet phldrT="[Text]"/>
      <dgm:spPr>
        <a:solidFill>
          <a:srgbClr val="00A4EF"/>
        </a:solidFill>
      </dgm:spPr>
      <dgm:t>
        <a:bodyPr/>
        <a:lstStyle/>
        <a:p>
          <a:pPr>
            <a:buFont typeface="+mj-lt"/>
            <a:buAutoNum type="arabicPeriod"/>
          </a:pPr>
          <a:r>
            <a:rPr lang="en-AU">
              <a:solidFill>
                <a:sysClr val="windowText" lastClr="000000"/>
              </a:solidFill>
            </a:rPr>
            <a:t>Step 9: </a:t>
          </a:r>
          <a:r>
            <a:rPr lang="en-AU" b="0" i="0">
              <a:solidFill>
                <a:sysClr val="windowText" lastClr="000000"/>
              </a:solidFill>
            </a:rPr>
            <a:t>Business Owner review and sign off Test Results on -</a:t>
          </a:r>
          <a:endParaRPr lang="en-AU">
            <a:solidFill>
              <a:sysClr val="windowText" lastClr="000000"/>
            </a:solidFill>
          </a:endParaRPr>
        </a:p>
      </dgm:t>
    </dgm:pt>
    <dgm:pt modelId="{E56E936A-9726-4216-8794-7D479455EC13}" type="parTrans" cxnId="{2697B728-85D4-4E71-AC3C-FDF4B2721CE3}">
      <dgm:prSet/>
      <dgm:spPr/>
      <dgm:t>
        <a:bodyPr/>
        <a:lstStyle/>
        <a:p>
          <a:endParaRPr lang="en-AU"/>
        </a:p>
      </dgm:t>
    </dgm:pt>
    <dgm:pt modelId="{C78ECF13-21A2-4EEF-B85C-25C8B6B3921B}" type="sibTrans" cxnId="{2697B728-85D4-4E71-AC3C-FDF4B2721CE3}">
      <dgm:prSet/>
      <dgm:spPr/>
      <dgm:t>
        <a:bodyPr/>
        <a:lstStyle/>
        <a:p>
          <a:endParaRPr lang="en-AU"/>
        </a:p>
      </dgm:t>
    </dgm:pt>
    <dgm:pt modelId="{32BB85D2-CB1B-4D9F-ABC8-BC9C6F7DCEB4}">
      <dgm:prSet phldrT="[Text]"/>
      <dgm:spPr>
        <a:solidFill>
          <a:srgbClr val="00A4EF"/>
        </a:solidFill>
      </dgm:spPr>
      <dgm:t>
        <a:bodyPr/>
        <a:lstStyle/>
        <a:p>
          <a:pPr>
            <a:buFont typeface="+mj-lt"/>
            <a:buAutoNum type="arabicPeriod"/>
          </a:pPr>
          <a:r>
            <a:rPr lang="en-AU">
              <a:solidFill>
                <a:sysClr val="windowText" lastClr="000000"/>
              </a:solidFill>
            </a:rPr>
            <a:t>Application Business Impact Assessment</a:t>
          </a:r>
        </a:p>
      </dgm:t>
    </dgm:pt>
    <dgm:pt modelId="{3B3788FE-5EDE-4D4F-9D54-15AD93247C6D}" type="parTrans" cxnId="{66079919-A176-47A1-B798-3E00F52CE4D3}">
      <dgm:prSet/>
      <dgm:spPr/>
      <dgm:t>
        <a:bodyPr/>
        <a:lstStyle/>
        <a:p>
          <a:endParaRPr lang="en-AU"/>
        </a:p>
      </dgm:t>
    </dgm:pt>
    <dgm:pt modelId="{EF36A0C1-BDA3-4FD0-BBE3-0CAE0A50CB03}" type="sibTrans" cxnId="{66079919-A176-47A1-B798-3E00F52CE4D3}">
      <dgm:prSet/>
      <dgm:spPr/>
      <dgm:t>
        <a:bodyPr/>
        <a:lstStyle/>
        <a:p>
          <a:endParaRPr lang="en-AU"/>
        </a:p>
      </dgm:t>
    </dgm:pt>
    <dgm:pt modelId="{B2915DAE-100C-42F9-BB85-846551530149}">
      <dgm:prSet phldrT="[Text]"/>
      <dgm:spPr>
        <a:solidFill>
          <a:srgbClr val="00A4EF"/>
        </a:solidFill>
      </dgm:spPr>
      <dgm:t>
        <a:bodyPr/>
        <a:lstStyle/>
        <a:p>
          <a:pPr>
            <a:buFont typeface="+mj-lt"/>
            <a:buAutoNum type="arabicPeriod"/>
          </a:pPr>
          <a:r>
            <a:rPr lang="en-AU" b="0" i="0">
              <a:solidFill>
                <a:sysClr val="windowText" lastClr="000000"/>
              </a:solidFill>
            </a:rPr>
            <a:t>Application Test Plan Summary</a:t>
          </a:r>
          <a:endParaRPr lang="en-AU">
            <a:solidFill>
              <a:sysClr val="windowText" lastClr="000000"/>
            </a:solidFill>
          </a:endParaRPr>
        </a:p>
      </dgm:t>
    </dgm:pt>
    <dgm:pt modelId="{86158C64-2CED-445F-9FAC-EA1053CBC723}" type="parTrans" cxnId="{082F5D74-49DB-41C5-866F-DDB6EC268D59}">
      <dgm:prSet/>
      <dgm:spPr/>
      <dgm:t>
        <a:bodyPr/>
        <a:lstStyle/>
        <a:p>
          <a:endParaRPr lang="en-AU"/>
        </a:p>
      </dgm:t>
    </dgm:pt>
    <dgm:pt modelId="{66B941D7-0FCC-4E88-A690-700B74F94A9E}" type="sibTrans" cxnId="{082F5D74-49DB-41C5-866F-DDB6EC268D59}">
      <dgm:prSet/>
      <dgm:spPr/>
      <dgm:t>
        <a:bodyPr/>
        <a:lstStyle/>
        <a:p>
          <a:endParaRPr lang="en-AU"/>
        </a:p>
      </dgm:t>
    </dgm:pt>
    <dgm:pt modelId="{A886C226-DB1D-4136-A332-9DA996912CF2}">
      <dgm:prSet phldrT="[Text]"/>
      <dgm:spPr>
        <a:solidFill>
          <a:srgbClr val="00A4EF"/>
        </a:solidFill>
      </dgm:spPr>
      <dgm:t>
        <a:bodyPr/>
        <a:lstStyle/>
        <a:p>
          <a:r>
            <a:rPr lang="en-AU" b="0" i="0">
              <a:solidFill>
                <a:sysClr val="windowText" lastClr="000000"/>
              </a:solidFill>
            </a:rPr>
            <a:t>BCDR Dashboard</a:t>
          </a:r>
          <a:endParaRPr lang="en-AU"/>
        </a:p>
      </dgm:t>
    </dgm:pt>
    <dgm:pt modelId="{E533C917-05FA-4D3E-9F73-1D4269F0CDC0}" type="parTrans" cxnId="{BE5133AD-5524-4D6F-9C2D-87A58A5CAC8F}">
      <dgm:prSet/>
      <dgm:spPr/>
      <dgm:t>
        <a:bodyPr/>
        <a:lstStyle/>
        <a:p>
          <a:endParaRPr lang="en-AU"/>
        </a:p>
      </dgm:t>
    </dgm:pt>
    <dgm:pt modelId="{1FB24A78-A2C3-47D4-B406-4A50CB8248EC}" type="sibTrans" cxnId="{BE5133AD-5524-4D6F-9C2D-87A58A5CAC8F}">
      <dgm:prSet/>
      <dgm:spPr/>
      <dgm:t>
        <a:bodyPr/>
        <a:lstStyle/>
        <a:p>
          <a:endParaRPr lang="en-AU"/>
        </a:p>
      </dgm:t>
    </dgm:pt>
    <dgm:pt modelId="{B76AAC50-A94F-404B-8BFC-9F3550DBD57E}">
      <dgm:prSet phldrT="[Text]"/>
      <dgm:spPr>
        <a:solidFill>
          <a:srgbClr val="FFB900"/>
        </a:solidFill>
      </dgm:spPr>
      <dgm:t>
        <a:bodyPr/>
        <a:lstStyle/>
        <a:p>
          <a:pPr>
            <a:buFont typeface="+mj-lt"/>
            <a:buAutoNum type="arabicPeriod"/>
          </a:pPr>
          <a:r>
            <a:rPr lang="en-AU">
              <a:solidFill>
                <a:sysClr val="windowText" lastClr="000000"/>
              </a:solidFill>
            </a:rPr>
            <a:t>Step 7: BCDR Engineer reviews monitoring data during the test and compares it with an established baseline</a:t>
          </a:r>
        </a:p>
      </dgm:t>
    </dgm:pt>
    <dgm:pt modelId="{FA76B852-4F82-416C-96F7-718BE4CF943B}" type="parTrans" cxnId="{6FD579E0-A187-4BE8-89FC-64D6DDD3A6CB}">
      <dgm:prSet/>
      <dgm:spPr/>
      <dgm:t>
        <a:bodyPr/>
        <a:lstStyle/>
        <a:p>
          <a:endParaRPr lang="en-AU"/>
        </a:p>
      </dgm:t>
    </dgm:pt>
    <dgm:pt modelId="{0CDFDE1C-069D-45DB-9835-190622A0EBAA}" type="sibTrans" cxnId="{6FD579E0-A187-4BE8-89FC-64D6DDD3A6CB}">
      <dgm:prSet/>
      <dgm:spPr/>
      <dgm:t>
        <a:bodyPr/>
        <a:lstStyle/>
        <a:p>
          <a:endParaRPr lang="en-AU"/>
        </a:p>
      </dgm:t>
    </dgm:pt>
    <dgm:pt modelId="{670BD6D5-7C3E-4CA0-9F36-7A3735C28603}" type="pres">
      <dgm:prSet presAssocID="{04C6B1E6-9E0A-4CEF-A498-7C126ED0BE42}" presName="Name0" presStyleCnt="0">
        <dgm:presLayoutVars>
          <dgm:dir/>
          <dgm:resizeHandles val="exact"/>
        </dgm:presLayoutVars>
      </dgm:prSet>
      <dgm:spPr/>
    </dgm:pt>
    <dgm:pt modelId="{704043AB-80C6-477D-8E81-CB9170335BA3}" type="pres">
      <dgm:prSet presAssocID="{963A69D2-B0BF-4F47-AADD-6793B3E116AD}" presName="node" presStyleLbl="node1" presStyleIdx="0" presStyleCnt="8">
        <dgm:presLayoutVars>
          <dgm:bulletEnabled val="1"/>
        </dgm:presLayoutVars>
      </dgm:prSet>
      <dgm:spPr/>
    </dgm:pt>
    <dgm:pt modelId="{344182A4-37C0-4E7B-B805-3DEC958888BB}" type="pres">
      <dgm:prSet presAssocID="{A31256D2-2C7A-42C9-AB0F-444718E2B4C6}" presName="sibTrans" presStyleLbl="sibTrans1D1" presStyleIdx="0" presStyleCnt="7"/>
      <dgm:spPr/>
    </dgm:pt>
    <dgm:pt modelId="{7EDD551A-BD0B-457D-9666-EEE985A0DA21}" type="pres">
      <dgm:prSet presAssocID="{A31256D2-2C7A-42C9-AB0F-444718E2B4C6}" presName="connectorText" presStyleLbl="sibTrans1D1" presStyleIdx="0" presStyleCnt="7"/>
      <dgm:spPr/>
    </dgm:pt>
    <dgm:pt modelId="{B16DD166-5E53-438B-9BD3-652B3D58548B}" type="pres">
      <dgm:prSet presAssocID="{D2012ABF-9672-4A2D-B68D-5E2D95858A23}" presName="node" presStyleLbl="node1" presStyleIdx="1" presStyleCnt="8">
        <dgm:presLayoutVars>
          <dgm:bulletEnabled val="1"/>
        </dgm:presLayoutVars>
      </dgm:prSet>
      <dgm:spPr/>
    </dgm:pt>
    <dgm:pt modelId="{2966A84D-E75B-4B3C-B9C4-F49CF9BDDF36}" type="pres">
      <dgm:prSet presAssocID="{EC662882-0C55-42A2-BD57-FF503F27B004}" presName="sibTrans" presStyleLbl="sibTrans1D1" presStyleIdx="1" presStyleCnt="7"/>
      <dgm:spPr/>
    </dgm:pt>
    <dgm:pt modelId="{E8883108-4BFB-4E6B-A691-2ECD5BB51591}" type="pres">
      <dgm:prSet presAssocID="{EC662882-0C55-42A2-BD57-FF503F27B004}" presName="connectorText" presStyleLbl="sibTrans1D1" presStyleIdx="1" presStyleCnt="7"/>
      <dgm:spPr/>
    </dgm:pt>
    <dgm:pt modelId="{83D4C33A-0E81-47D4-8577-BC605B185BBB}" type="pres">
      <dgm:prSet presAssocID="{EE3D423D-BE48-472E-9471-C8BFD93FBBF2}" presName="node" presStyleLbl="node1" presStyleIdx="2" presStyleCnt="8">
        <dgm:presLayoutVars>
          <dgm:bulletEnabled val="1"/>
        </dgm:presLayoutVars>
      </dgm:prSet>
      <dgm:spPr/>
    </dgm:pt>
    <dgm:pt modelId="{4F01D6A2-650C-476D-B4CF-A0A38F1B91C3}" type="pres">
      <dgm:prSet presAssocID="{C33A5CA0-BBD9-4E30-9F95-34FB55A84C68}" presName="sibTrans" presStyleLbl="sibTrans1D1" presStyleIdx="2" presStyleCnt="7"/>
      <dgm:spPr/>
    </dgm:pt>
    <dgm:pt modelId="{C6A06D50-F802-4B49-922F-07285C56D699}" type="pres">
      <dgm:prSet presAssocID="{C33A5CA0-BBD9-4E30-9F95-34FB55A84C68}" presName="connectorText" presStyleLbl="sibTrans1D1" presStyleIdx="2" presStyleCnt="7"/>
      <dgm:spPr/>
    </dgm:pt>
    <dgm:pt modelId="{BAFA43E4-F415-4A6D-A0D4-03DA9964343C}" type="pres">
      <dgm:prSet presAssocID="{0147CA23-E949-40FE-8A67-B6F0E9ABAB3D}" presName="node" presStyleLbl="node1" presStyleIdx="3" presStyleCnt="8">
        <dgm:presLayoutVars>
          <dgm:bulletEnabled val="1"/>
        </dgm:presLayoutVars>
      </dgm:prSet>
      <dgm:spPr/>
    </dgm:pt>
    <dgm:pt modelId="{19B66FC7-EC42-4328-B797-0B6E07513D9F}" type="pres">
      <dgm:prSet presAssocID="{92DA0C7A-CBC0-400A-8913-17743B937DC6}" presName="sibTrans" presStyleLbl="sibTrans1D1" presStyleIdx="3" presStyleCnt="7"/>
      <dgm:spPr/>
    </dgm:pt>
    <dgm:pt modelId="{AD6F13D6-B00C-4C0D-859E-81A8BDA9398D}" type="pres">
      <dgm:prSet presAssocID="{92DA0C7A-CBC0-400A-8913-17743B937DC6}" presName="connectorText" presStyleLbl="sibTrans1D1" presStyleIdx="3" presStyleCnt="7"/>
      <dgm:spPr/>
    </dgm:pt>
    <dgm:pt modelId="{5E4B7EDF-777B-4B09-A4FC-3229534D87F0}" type="pres">
      <dgm:prSet presAssocID="{151A6EC2-2397-447D-A3B6-C33187B64834}" presName="node" presStyleLbl="node1" presStyleIdx="4" presStyleCnt="8">
        <dgm:presLayoutVars>
          <dgm:bulletEnabled val="1"/>
        </dgm:presLayoutVars>
      </dgm:prSet>
      <dgm:spPr/>
    </dgm:pt>
    <dgm:pt modelId="{94A73431-F3C7-4819-90A6-2DA23EEB8498}" type="pres">
      <dgm:prSet presAssocID="{60F6F0B4-D524-4819-9788-8EF97DAB079A}" presName="sibTrans" presStyleLbl="sibTrans1D1" presStyleIdx="4" presStyleCnt="7"/>
      <dgm:spPr/>
    </dgm:pt>
    <dgm:pt modelId="{259DBB62-E85C-4BAB-BC3B-DD206C25CAC8}" type="pres">
      <dgm:prSet presAssocID="{60F6F0B4-D524-4819-9788-8EF97DAB079A}" presName="connectorText" presStyleLbl="sibTrans1D1" presStyleIdx="4" presStyleCnt="7"/>
      <dgm:spPr/>
    </dgm:pt>
    <dgm:pt modelId="{C6C4C6BC-07FD-4207-A427-7104B71C5972}" type="pres">
      <dgm:prSet presAssocID="{B76AAC50-A94F-404B-8BFC-9F3550DBD57E}" presName="node" presStyleLbl="node1" presStyleIdx="5" presStyleCnt="8">
        <dgm:presLayoutVars>
          <dgm:bulletEnabled val="1"/>
        </dgm:presLayoutVars>
      </dgm:prSet>
      <dgm:spPr/>
    </dgm:pt>
    <dgm:pt modelId="{7AE3D2AF-4DD2-4A44-A10F-678EB38391DD}" type="pres">
      <dgm:prSet presAssocID="{0CDFDE1C-069D-45DB-9835-190622A0EBAA}" presName="sibTrans" presStyleLbl="sibTrans1D1" presStyleIdx="5" presStyleCnt="7"/>
      <dgm:spPr/>
    </dgm:pt>
    <dgm:pt modelId="{049C4DC6-EFA5-4577-BA91-A9E8F32C5436}" type="pres">
      <dgm:prSet presAssocID="{0CDFDE1C-069D-45DB-9835-190622A0EBAA}" presName="connectorText" presStyleLbl="sibTrans1D1" presStyleIdx="5" presStyleCnt="7"/>
      <dgm:spPr/>
    </dgm:pt>
    <dgm:pt modelId="{0963ADED-744C-4DC0-BA04-07599AD301ED}" type="pres">
      <dgm:prSet presAssocID="{D551F121-6D5A-4B39-B36A-BE8BA053C7EC}" presName="node" presStyleLbl="node1" presStyleIdx="6" presStyleCnt="8">
        <dgm:presLayoutVars>
          <dgm:bulletEnabled val="1"/>
        </dgm:presLayoutVars>
      </dgm:prSet>
      <dgm:spPr/>
    </dgm:pt>
    <dgm:pt modelId="{F54551D9-93E3-496C-A9B0-8034BAC50439}" type="pres">
      <dgm:prSet presAssocID="{A0C5743F-1863-40F1-B7A8-8A4F4D07C473}" presName="sibTrans" presStyleLbl="sibTrans1D1" presStyleIdx="6" presStyleCnt="7"/>
      <dgm:spPr/>
    </dgm:pt>
    <dgm:pt modelId="{7B9F2492-A342-472D-BB10-EA662EC63A0C}" type="pres">
      <dgm:prSet presAssocID="{A0C5743F-1863-40F1-B7A8-8A4F4D07C473}" presName="connectorText" presStyleLbl="sibTrans1D1" presStyleIdx="6" presStyleCnt="7"/>
      <dgm:spPr/>
    </dgm:pt>
    <dgm:pt modelId="{42196E1A-2978-48DD-B3C8-02E7E2D4DE1E}" type="pres">
      <dgm:prSet presAssocID="{9C87E151-1288-4DA1-9D51-8454172F8975}" presName="node" presStyleLbl="node1" presStyleIdx="7" presStyleCnt="8">
        <dgm:presLayoutVars>
          <dgm:bulletEnabled val="1"/>
        </dgm:presLayoutVars>
      </dgm:prSet>
      <dgm:spPr/>
    </dgm:pt>
  </dgm:ptLst>
  <dgm:cxnLst>
    <dgm:cxn modelId="{15E1E907-2EFB-42A8-A867-A5CE5444F39B}" type="presOf" srcId="{92DA0C7A-CBC0-400A-8913-17743B937DC6}" destId="{19B66FC7-EC42-4328-B797-0B6E07513D9F}" srcOrd="0" destOrd="0" presId="urn:microsoft.com/office/officeart/2005/8/layout/bProcess3"/>
    <dgm:cxn modelId="{66079919-A176-47A1-B798-3E00F52CE4D3}" srcId="{9C87E151-1288-4DA1-9D51-8454172F8975}" destId="{32BB85D2-CB1B-4D9F-ABC8-BC9C6F7DCEB4}" srcOrd="0" destOrd="0" parTransId="{3B3788FE-5EDE-4D4F-9D54-15AD93247C6D}" sibTransId="{EF36A0C1-BDA3-4FD0-BBE3-0CAE0A50CB03}"/>
    <dgm:cxn modelId="{0C11581F-448A-44D6-8EB5-81A1C80DC01D}" srcId="{D551F121-6D5A-4B39-B36A-BE8BA053C7EC}" destId="{7EA2D25D-8F04-4271-913C-A84B170CDFF7}" srcOrd="0" destOrd="0" parTransId="{F2382E6D-15C4-4264-8091-337776697B95}" sibTransId="{5905F432-D394-4712-97A7-BB67457C0A44}"/>
    <dgm:cxn modelId="{2697B728-85D4-4E71-AC3C-FDF4B2721CE3}" srcId="{04C6B1E6-9E0A-4CEF-A498-7C126ED0BE42}" destId="{9C87E151-1288-4DA1-9D51-8454172F8975}" srcOrd="7" destOrd="0" parTransId="{E56E936A-9726-4216-8794-7D479455EC13}" sibTransId="{C78ECF13-21A2-4EEF-B85C-25C8B6B3921B}"/>
    <dgm:cxn modelId="{99CE1F29-EF2C-45AC-B065-715B0FE20155}" srcId="{04C6B1E6-9E0A-4CEF-A498-7C126ED0BE42}" destId="{D551F121-6D5A-4B39-B36A-BE8BA053C7EC}" srcOrd="6" destOrd="0" parTransId="{489FA5C1-84E4-473F-8E56-7460FFC3FEE9}" sibTransId="{A0C5743F-1863-40F1-B7A8-8A4F4D07C473}"/>
    <dgm:cxn modelId="{E1DCF730-A482-4C15-B70B-56B52D24DE8B}" srcId="{04C6B1E6-9E0A-4CEF-A498-7C126ED0BE42}" destId="{151A6EC2-2397-447D-A3B6-C33187B64834}" srcOrd="4" destOrd="0" parTransId="{C77B53E5-E009-4569-B4F7-42DA73907E75}" sibTransId="{60F6F0B4-D524-4819-9788-8EF97DAB079A}"/>
    <dgm:cxn modelId="{3057B633-DA51-4EB1-8C5A-95A2CB564901}" type="presOf" srcId="{C33A5CA0-BBD9-4E30-9F95-34FB55A84C68}" destId="{4F01D6A2-650C-476D-B4CF-A0A38F1B91C3}" srcOrd="0" destOrd="0" presId="urn:microsoft.com/office/officeart/2005/8/layout/bProcess3"/>
    <dgm:cxn modelId="{740A7D36-3633-46C5-B559-E513EB4BC218}" srcId="{04C6B1E6-9E0A-4CEF-A498-7C126ED0BE42}" destId="{EE3D423D-BE48-472E-9471-C8BFD93FBBF2}" srcOrd="2" destOrd="0" parTransId="{88AE06E9-EFCD-45D3-9810-706EC996D967}" sibTransId="{C33A5CA0-BBD9-4E30-9F95-34FB55A84C68}"/>
    <dgm:cxn modelId="{9B71AE5D-F40C-4B30-A27C-F414F25CDE08}" type="presOf" srcId="{60F6F0B4-D524-4819-9788-8EF97DAB079A}" destId="{94A73431-F3C7-4819-90A6-2DA23EEB8498}" srcOrd="0" destOrd="0" presId="urn:microsoft.com/office/officeart/2005/8/layout/bProcess3"/>
    <dgm:cxn modelId="{38FE4D5E-B1E6-472F-B412-026E23FFDC09}" type="presOf" srcId="{0147CA23-E949-40FE-8A67-B6F0E9ABAB3D}" destId="{BAFA43E4-F415-4A6D-A0D4-03DA9964343C}" srcOrd="0" destOrd="0" presId="urn:microsoft.com/office/officeart/2005/8/layout/bProcess3"/>
    <dgm:cxn modelId="{90C53B62-14FF-43F5-850E-CAD5132F191B}" type="presOf" srcId="{A31256D2-2C7A-42C9-AB0F-444718E2B4C6}" destId="{344182A4-37C0-4E7B-B805-3DEC958888BB}" srcOrd="0" destOrd="0" presId="urn:microsoft.com/office/officeart/2005/8/layout/bProcess3"/>
    <dgm:cxn modelId="{DDBBA163-9FEC-496A-8F69-9EAA75B7FDCA}" type="presOf" srcId="{60F6F0B4-D524-4819-9788-8EF97DAB079A}" destId="{259DBB62-E85C-4BAB-BC3B-DD206C25CAC8}" srcOrd="1" destOrd="0" presId="urn:microsoft.com/office/officeart/2005/8/layout/bProcess3"/>
    <dgm:cxn modelId="{E0322565-1C2A-4ED5-B69B-D3935BC31CE8}" type="presOf" srcId="{151A6EC2-2397-447D-A3B6-C33187B64834}" destId="{5E4B7EDF-777B-4B09-A4FC-3229534D87F0}" srcOrd="0" destOrd="0" presId="urn:microsoft.com/office/officeart/2005/8/layout/bProcess3"/>
    <dgm:cxn modelId="{E3386F48-BA2E-4047-B238-37713A5DA40F}" srcId="{04C6B1E6-9E0A-4CEF-A498-7C126ED0BE42}" destId="{0147CA23-E949-40FE-8A67-B6F0E9ABAB3D}" srcOrd="3" destOrd="0" parTransId="{C2F678B5-E074-4731-9C0F-36EC378C1E4C}" sibTransId="{92DA0C7A-CBC0-400A-8913-17743B937DC6}"/>
    <dgm:cxn modelId="{240F574E-F545-4B97-A8B4-6D342DA4E2A5}" type="presOf" srcId="{EC662882-0C55-42A2-BD57-FF503F27B004}" destId="{E8883108-4BFB-4E6B-A691-2ECD5BB51591}" srcOrd="1" destOrd="0" presId="urn:microsoft.com/office/officeart/2005/8/layout/bProcess3"/>
    <dgm:cxn modelId="{A353CE53-1A45-41C8-9AED-27CF452E64A9}" srcId="{04C6B1E6-9E0A-4CEF-A498-7C126ED0BE42}" destId="{D2012ABF-9672-4A2D-B68D-5E2D95858A23}" srcOrd="1" destOrd="0" parTransId="{0D2D9183-EF57-4FFC-849A-0867A83A2B02}" sibTransId="{EC662882-0C55-42A2-BD57-FF503F27B004}"/>
    <dgm:cxn modelId="{082F5D74-49DB-41C5-866F-DDB6EC268D59}" srcId="{9C87E151-1288-4DA1-9D51-8454172F8975}" destId="{B2915DAE-100C-42F9-BB85-846551530149}" srcOrd="1" destOrd="0" parTransId="{86158C64-2CED-445F-9FAC-EA1053CBC723}" sibTransId="{66B941D7-0FCC-4E88-A690-700B74F94A9E}"/>
    <dgm:cxn modelId="{1A625856-6E35-4B7B-AA32-428339A0997F}" type="presOf" srcId="{B76AAC50-A94F-404B-8BFC-9F3550DBD57E}" destId="{C6C4C6BC-07FD-4207-A427-7104B71C5972}" srcOrd="0" destOrd="0" presId="urn:microsoft.com/office/officeart/2005/8/layout/bProcess3"/>
    <dgm:cxn modelId="{0510C479-CD61-407D-BA72-DC24CFD387E2}" type="presOf" srcId="{7EA2D25D-8F04-4271-913C-A84B170CDFF7}" destId="{0963ADED-744C-4DC0-BA04-07599AD301ED}" srcOrd="0" destOrd="1" presId="urn:microsoft.com/office/officeart/2005/8/layout/bProcess3"/>
    <dgm:cxn modelId="{5D0A217C-5AA7-4A94-B368-CD80C0BBA915}" type="presOf" srcId="{A31256D2-2C7A-42C9-AB0F-444718E2B4C6}" destId="{7EDD551A-BD0B-457D-9666-EEE985A0DA21}" srcOrd="1" destOrd="0" presId="urn:microsoft.com/office/officeart/2005/8/layout/bProcess3"/>
    <dgm:cxn modelId="{A1D0E77C-EBD9-408F-9CE3-56771423DC21}" type="presOf" srcId="{32BB85D2-CB1B-4D9F-ABC8-BC9C6F7DCEB4}" destId="{42196E1A-2978-48DD-B3C8-02E7E2D4DE1E}" srcOrd="0" destOrd="1" presId="urn:microsoft.com/office/officeart/2005/8/layout/bProcess3"/>
    <dgm:cxn modelId="{2F613186-F42E-404D-BFD3-E020033F19E9}" type="presOf" srcId="{A0C5743F-1863-40F1-B7A8-8A4F4D07C473}" destId="{F54551D9-93E3-496C-A9B0-8034BAC50439}" srcOrd="0" destOrd="0" presId="urn:microsoft.com/office/officeart/2005/8/layout/bProcess3"/>
    <dgm:cxn modelId="{5219C786-0226-40DE-9633-EBF879A7FD17}" srcId="{D551F121-6D5A-4B39-B36A-BE8BA053C7EC}" destId="{2B852354-5A87-4B03-95E8-4CA43F4D11D5}" srcOrd="2" destOrd="0" parTransId="{42866F81-D45B-452D-BC08-7228C5F9C8E1}" sibTransId="{F6D471F3-B22A-45B4-BAFD-23AF20F4BAC4}"/>
    <dgm:cxn modelId="{D87B128D-0F9B-411A-966A-0387A6512372}" srcId="{04C6B1E6-9E0A-4CEF-A498-7C126ED0BE42}" destId="{963A69D2-B0BF-4F47-AADD-6793B3E116AD}" srcOrd="0" destOrd="0" parTransId="{AFFC7BAD-A2D6-41C0-A31B-DA8B1BA5D657}" sibTransId="{A31256D2-2C7A-42C9-AB0F-444718E2B4C6}"/>
    <dgm:cxn modelId="{EB5F518D-ABCC-4E1A-B6CF-7C6DBF43A135}" type="presOf" srcId="{2B852354-5A87-4B03-95E8-4CA43F4D11D5}" destId="{0963ADED-744C-4DC0-BA04-07599AD301ED}" srcOrd="0" destOrd="3" presId="urn:microsoft.com/office/officeart/2005/8/layout/bProcess3"/>
    <dgm:cxn modelId="{43F4728D-3FC8-4F1D-BBD5-491FC290CF54}" type="presOf" srcId="{EC662882-0C55-42A2-BD57-FF503F27B004}" destId="{2966A84D-E75B-4B3C-B9C4-F49CF9BDDF36}" srcOrd="0" destOrd="0" presId="urn:microsoft.com/office/officeart/2005/8/layout/bProcess3"/>
    <dgm:cxn modelId="{0EF47392-D309-4A3A-B108-80F074F4164C}" type="presOf" srcId="{D551F121-6D5A-4B39-B36A-BE8BA053C7EC}" destId="{0963ADED-744C-4DC0-BA04-07599AD301ED}" srcOrd="0" destOrd="0" presId="urn:microsoft.com/office/officeart/2005/8/layout/bProcess3"/>
    <dgm:cxn modelId="{8A909F9F-424F-44D2-80CF-7958F32932D0}" type="presOf" srcId="{D2012ABF-9672-4A2D-B68D-5E2D95858A23}" destId="{B16DD166-5E53-438B-9BD3-652B3D58548B}" srcOrd="0" destOrd="0" presId="urn:microsoft.com/office/officeart/2005/8/layout/bProcess3"/>
    <dgm:cxn modelId="{F960B3A0-A6E6-4710-9AFC-A146FB2E714D}" type="presOf" srcId="{EE3D423D-BE48-472E-9471-C8BFD93FBBF2}" destId="{83D4C33A-0E81-47D4-8577-BC605B185BBB}" srcOrd="0" destOrd="0" presId="urn:microsoft.com/office/officeart/2005/8/layout/bProcess3"/>
    <dgm:cxn modelId="{7F1B73A3-A6C2-43E3-B3F4-537DF18E04B8}" type="presOf" srcId="{9C87E151-1288-4DA1-9D51-8454172F8975}" destId="{42196E1A-2978-48DD-B3C8-02E7E2D4DE1E}" srcOrd="0" destOrd="0" presId="urn:microsoft.com/office/officeart/2005/8/layout/bProcess3"/>
    <dgm:cxn modelId="{2C926EA6-4853-465C-B50F-DA5D54CB8282}" type="presOf" srcId="{0CDFDE1C-069D-45DB-9835-190622A0EBAA}" destId="{7AE3D2AF-4DD2-4A44-A10F-678EB38391DD}" srcOrd="0" destOrd="0" presId="urn:microsoft.com/office/officeart/2005/8/layout/bProcess3"/>
    <dgm:cxn modelId="{8BC0A4AA-5A50-46C9-9E37-5DA5F8E9D3A5}" type="presOf" srcId="{CBC50B14-747C-40AF-88E6-BBF427A4821B}" destId="{0963ADED-744C-4DC0-BA04-07599AD301ED}" srcOrd="0" destOrd="2" presId="urn:microsoft.com/office/officeart/2005/8/layout/bProcess3"/>
    <dgm:cxn modelId="{EBC2CEAA-7F92-44DF-9DFA-81D7F78309F6}" type="presOf" srcId="{92DA0C7A-CBC0-400A-8913-17743B937DC6}" destId="{AD6F13D6-B00C-4C0D-859E-81A8BDA9398D}" srcOrd="1" destOrd="0" presId="urn:microsoft.com/office/officeart/2005/8/layout/bProcess3"/>
    <dgm:cxn modelId="{BE5133AD-5524-4D6F-9C2D-87A58A5CAC8F}" srcId="{9C87E151-1288-4DA1-9D51-8454172F8975}" destId="{A886C226-DB1D-4136-A332-9DA996912CF2}" srcOrd="2" destOrd="0" parTransId="{E533C917-05FA-4D3E-9F73-1D4269F0CDC0}" sibTransId="{1FB24A78-A2C3-47D4-B406-4A50CB8248EC}"/>
    <dgm:cxn modelId="{1955D0B5-A5EF-490C-9736-0A96B63F9204}" type="presOf" srcId="{B2915DAE-100C-42F9-BB85-846551530149}" destId="{42196E1A-2978-48DD-B3C8-02E7E2D4DE1E}" srcOrd="0" destOrd="2" presId="urn:microsoft.com/office/officeart/2005/8/layout/bProcess3"/>
    <dgm:cxn modelId="{F4F75EBD-9894-4E51-81D5-EAA180F85934}" srcId="{D551F121-6D5A-4B39-B36A-BE8BA053C7EC}" destId="{CBC50B14-747C-40AF-88E6-BBF427A4821B}" srcOrd="1" destOrd="0" parTransId="{B7F76608-6ED0-44A2-95E6-98D90FC2166C}" sibTransId="{6A746AE8-10EF-44FE-8CA1-162178BE7333}"/>
    <dgm:cxn modelId="{A73D26D2-5951-4C48-8899-F52A0C6CAE48}" type="presOf" srcId="{0CDFDE1C-069D-45DB-9835-190622A0EBAA}" destId="{049C4DC6-EFA5-4577-BA91-A9E8F32C5436}" srcOrd="1" destOrd="0" presId="urn:microsoft.com/office/officeart/2005/8/layout/bProcess3"/>
    <dgm:cxn modelId="{2DD52CD9-7C05-49EA-8442-74F75ECC7A7E}" type="presOf" srcId="{963A69D2-B0BF-4F47-AADD-6793B3E116AD}" destId="{704043AB-80C6-477D-8E81-CB9170335BA3}" srcOrd="0" destOrd="0" presId="urn:microsoft.com/office/officeart/2005/8/layout/bProcess3"/>
    <dgm:cxn modelId="{6FD579E0-A187-4BE8-89FC-64D6DDD3A6CB}" srcId="{04C6B1E6-9E0A-4CEF-A498-7C126ED0BE42}" destId="{B76AAC50-A94F-404B-8BFC-9F3550DBD57E}" srcOrd="5" destOrd="0" parTransId="{FA76B852-4F82-416C-96F7-718BE4CF943B}" sibTransId="{0CDFDE1C-069D-45DB-9835-190622A0EBAA}"/>
    <dgm:cxn modelId="{5329D3E5-A27B-4853-BF82-F9909FBD3077}" type="presOf" srcId="{A886C226-DB1D-4136-A332-9DA996912CF2}" destId="{42196E1A-2978-48DD-B3C8-02E7E2D4DE1E}" srcOrd="0" destOrd="3" presId="urn:microsoft.com/office/officeart/2005/8/layout/bProcess3"/>
    <dgm:cxn modelId="{D6A802F5-DEC6-49E6-963A-AAD432CFDD3A}" type="presOf" srcId="{A0C5743F-1863-40F1-B7A8-8A4F4D07C473}" destId="{7B9F2492-A342-472D-BB10-EA662EC63A0C}" srcOrd="1" destOrd="0" presId="urn:microsoft.com/office/officeart/2005/8/layout/bProcess3"/>
    <dgm:cxn modelId="{29B3D3F8-4E8F-42EC-9FD5-087EE788CB0F}" type="presOf" srcId="{04C6B1E6-9E0A-4CEF-A498-7C126ED0BE42}" destId="{670BD6D5-7C3E-4CA0-9F36-7A3735C28603}" srcOrd="0" destOrd="0" presId="urn:microsoft.com/office/officeart/2005/8/layout/bProcess3"/>
    <dgm:cxn modelId="{71B40EFF-D8DC-427B-AAFB-3C8FD490F086}" type="presOf" srcId="{C33A5CA0-BBD9-4E30-9F95-34FB55A84C68}" destId="{C6A06D50-F802-4B49-922F-07285C56D699}" srcOrd="1" destOrd="0" presId="urn:microsoft.com/office/officeart/2005/8/layout/bProcess3"/>
    <dgm:cxn modelId="{02F92C13-B439-4F61-B509-E466B72B793F}" type="presParOf" srcId="{670BD6D5-7C3E-4CA0-9F36-7A3735C28603}" destId="{704043AB-80C6-477D-8E81-CB9170335BA3}" srcOrd="0" destOrd="0" presId="urn:microsoft.com/office/officeart/2005/8/layout/bProcess3"/>
    <dgm:cxn modelId="{D631F619-2553-426D-8433-8DF76B396B80}" type="presParOf" srcId="{670BD6D5-7C3E-4CA0-9F36-7A3735C28603}" destId="{344182A4-37C0-4E7B-B805-3DEC958888BB}" srcOrd="1" destOrd="0" presId="urn:microsoft.com/office/officeart/2005/8/layout/bProcess3"/>
    <dgm:cxn modelId="{1361FBBA-53C9-49E5-BFEC-347352E34B83}" type="presParOf" srcId="{344182A4-37C0-4E7B-B805-3DEC958888BB}" destId="{7EDD551A-BD0B-457D-9666-EEE985A0DA21}" srcOrd="0" destOrd="0" presId="urn:microsoft.com/office/officeart/2005/8/layout/bProcess3"/>
    <dgm:cxn modelId="{5F4FEF35-8E0C-4C4E-832D-664351270CA9}" type="presParOf" srcId="{670BD6D5-7C3E-4CA0-9F36-7A3735C28603}" destId="{B16DD166-5E53-438B-9BD3-652B3D58548B}" srcOrd="2" destOrd="0" presId="urn:microsoft.com/office/officeart/2005/8/layout/bProcess3"/>
    <dgm:cxn modelId="{E0EAA3DB-6978-4FEF-9B7A-EF3695BB2FDC}" type="presParOf" srcId="{670BD6D5-7C3E-4CA0-9F36-7A3735C28603}" destId="{2966A84D-E75B-4B3C-B9C4-F49CF9BDDF36}" srcOrd="3" destOrd="0" presId="urn:microsoft.com/office/officeart/2005/8/layout/bProcess3"/>
    <dgm:cxn modelId="{3B786C80-C415-4A64-B5E6-8E4016484187}" type="presParOf" srcId="{2966A84D-E75B-4B3C-B9C4-F49CF9BDDF36}" destId="{E8883108-4BFB-4E6B-A691-2ECD5BB51591}" srcOrd="0" destOrd="0" presId="urn:microsoft.com/office/officeart/2005/8/layout/bProcess3"/>
    <dgm:cxn modelId="{538707A0-F3BC-4860-A271-284B3AE96107}" type="presParOf" srcId="{670BD6D5-7C3E-4CA0-9F36-7A3735C28603}" destId="{83D4C33A-0E81-47D4-8577-BC605B185BBB}" srcOrd="4" destOrd="0" presId="urn:microsoft.com/office/officeart/2005/8/layout/bProcess3"/>
    <dgm:cxn modelId="{44AFFA1C-4804-4350-927B-5C39B203EC74}" type="presParOf" srcId="{670BD6D5-7C3E-4CA0-9F36-7A3735C28603}" destId="{4F01D6A2-650C-476D-B4CF-A0A38F1B91C3}" srcOrd="5" destOrd="0" presId="urn:microsoft.com/office/officeart/2005/8/layout/bProcess3"/>
    <dgm:cxn modelId="{36702F2B-79EE-47E5-BD5C-EC9B85666294}" type="presParOf" srcId="{4F01D6A2-650C-476D-B4CF-A0A38F1B91C3}" destId="{C6A06D50-F802-4B49-922F-07285C56D699}" srcOrd="0" destOrd="0" presId="urn:microsoft.com/office/officeart/2005/8/layout/bProcess3"/>
    <dgm:cxn modelId="{5ABD71E3-62A5-4192-84B2-D30ABFBA31D0}" type="presParOf" srcId="{670BD6D5-7C3E-4CA0-9F36-7A3735C28603}" destId="{BAFA43E4-F415-4A6D-A0D4-03DA9964343C}" srcOrd="6" destOrd="0" presId="urn:microsoft.com/office/officeart/2005/8/layout/bProcess3"/>
    <dgm:cxn modelId="{A16A5024-0DAC-4730-907A-7B028EE29059}" type="presParOf" srcId="{670BD6D5-7C3E-4CA0-9F36-7A3735C28603}" destId="{19B66FC7-EC42-4328-B797-0B6E07513D9F}" srcOrd="7" destOrd="0" presId="urn:microsoft.com/office/officeart/2005/8/layout/bProcess3"/>
    <dgm:cxn modelId="{C52D8A5B-1E97-4AC2-8747-12347F34B997}" type="presParOf" srcId="{19B66FC7-EC42-4328-B797-0B6E07513D9F}" destId="{AD6F13D6-B00C-4C0D-859E-81A8BDA9398D}" srcOrd="0" destOrd="0" presId="urn:microsoft.com/office/officeart/2005/8/layout/bProcess3"/>
    <dgm:cxn modelId="{F7D29419-1335-4559-BEAD-4247531FB0D6}" type="presParOf" srcId="{670BD6D5-7C3E-4CA0-9F36-7A3735C28603}" destId="{5E4B7EDF-777B-4B09-A4FC-3229534D87F0}" srcOrd="8" destOrd="0" presId="urn:microsoft.com/office/officeart/2005/8/layout/bProcess3"/>
    <dgm:cxn modelId="{D8989860-23B7-4AB2-A665-C1B6C431FF2D}" type="presParOf" srcId="{670BD6D5-7C3E-4CA0-9F36-7A3735C28603}" destId="{94A73431-F3C7-4819-90A6-2DA23EEB8498}" srcOrd="9" destOrd="0" presId="urn:microsoft.com/office/officeart/2005/8/layout/bProcess3"/>
    <dgm:cxn modelId="{169CA0BE-0BA9-4009-B29E-61DA9EA9E8D5}" type="presParOf" srcId="{94A73431-F3C7-4819-90A6-2DA23EEB8498}" destId="{259DBB62-E85C-4BAB-BC3B-DD206C25CAC8}" srcOrd="0" destOrd="0" presId="urn:microsoft.com/office/officeart/2005/8/layout/bProcess3"/>
    <dgm:cxn modelId="{E25B4755-D4B5-477C-A1E9-95BD1790CF95}" type="presParOf" srcId="{670BD6D5-7C3E-4CA0-9F36-7A3735C28603}" destId="{C6C4C6BC-07FD-4207-A427-7104B71C5972}" srcOrd="10" destOrd="0" presId="urn:microsoft.com/office/officeart/2005/8/layout/bProcess3"/>
    <dgm:cxn modelId="{E56B88EC-F1F1-4105-A63A-B3E586AD6908}" type="presParOf" srcId="{670BD6D5-7C3E-4CA0-9F36-7A3735C28603}" destId="{7AE3D2AF-4DD2-4A44-A10F-678EB38391DD}" srcOrd="11" destOrd="0" presId="urn:microsoft.com/office/officeart/2005/8/layout/bProcess3"/>
    <dgm:cxn modelId="{E70CCCD3-D738-49CC-B2E8-5F77E0697E96}" type="presParOf" srcId="{7AE3D2AF-4DD2-4A44-A10F-678EB38391DD}" destId="{049C4DC6-EFA5-4577-BA91-A9E8F32C5436}" srcOrd="0" destOrd="0" presId="urn:microsoft.com/office/officeart/2005/8/layout/bProcess3"/>
    <dgm:cxn modelId="{9FBC2FCB-4CC5-49EC-BDF2-D0E7FD7D1096}" type="presParOf" srcId="{670BD6D5-7C3E-4CA0-9F36-7A3735C28603}" destId="{0963ADED-744C-4DC0-BA04-07599AD301ED}" srcOrd="12" destOrd="0" presId="urn:microsoft.com/office/officeart/2005/8/layout/bProcess3"/>
    <dgm:cxn modelId="{65BA47D5-BBEE-453F-A932-E760A4050734}" type="presParOf" srcId="{670BD6D5-7C3E-4CA0-9F36-7A3735C28603}" destId="{F54551D9-93E3-496C-A9B0-8034BAC50439}" srcOrd="13" destOrd="0" presId="urn:microsoft.com/office/officeart/2005/8/layout/bProcess3"/>
    <dgm:cxn modelId="{050B0B60-74A3-41A6-88EA-19B1921B625C}" type="presParOf" srcId="{F54551D9-93E3-496C-A9B0-8034BAC50439}" destId="{7B9F2492-A342-472D-BB10-EA662EC63A0C}" srcOrd="0" destOrd="0" presId="urn:microsoft.com/office/officeart/2005/8/layout/bProcess3"/>
    <dgm:cxn modelId="{442303B5-C5FB-4BBB-9531-AA11DFECA43C}" type="presParOf" srcId="{670BD6D5-7C3E-4CA0-9F36-7A3735C28603}" destId="{42196E1A-2978-48DD-B3C8-02E7E2D4DE1E}" srcOrd="14" destOrd="0" presId="urn:microsoft.com/office/officeart/2005/8/layout/bProcess3"/>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12.xml><?xml version="1.0" encoding="utf-8"?>
<dgm:dataModel xmlns:dgm="http://schemas.openxmlformats.org/drawingml/2006/diagram" xmlns:a="http://schemas.openxmlformats.org/drawingml/2006/main">
  <dgm:ptLst>
    <dgm:pt modelId="{04C6B1E6-9E0A-4CEF-A498-7C126ED0BE42}" type="doc">
      <dgm:prSet loTypeId="urn:microsoft.com/office/officeart/2005/8/layout/bProcess3" loCatId="process" qsTypeId="urn:microsoft.com/office/officeart/2005/8/quickstyle/simple1" qsCatId="simple" csTypeId="urn:microsoft.com/office/officeart/2005/8/colors/accent1_2" csCatId="accent1" phldr="1"/>
      <dgm:spPr/>
      <dgm:t>
        <a:bodyPr/>
        <a:lstStyle/>
        <a:p>
          <a:endParaRPr lang="en-AU"/>
        </a:p>
      </dgm:t>
    </dgm:pt>
    <dgm:pt modelId="{963A69D2-B0BF-4F47-AADD-6793B3E116AD}">
      <dgm:prSet phldrT="[Text]"/>
      <dgm:spPr>
        <a:solidFill>
          <a:srgbClr val="F25022"/>
        </a:solidFill>
      </dgm:spPr>
      <dgm:t>
        <a:bodyPr/>
        <a:lstStyle/>
        <a:p>
          <a:pPr>
            <a:buFont typeface="+mj-lt"/>
            <a:buAutoNum type="arabicPeriod"/>
          </a:pPr>
          <a:r>
            <a:rPr lang="en-AU" b="0" i="0"/>
            <a:t>Step 1: UAT Test Plan is executed in full to validate the current status and duration for each UAT activity</a:t>
          </a:r>
          <a:endParaRPr lang="en-AU"/>
        </a:p>
      </dgm:t>
    </dgm:pt>
    <dgm:pt modelId="{AFFC7BAD-A2D6-41C0-A31B-DA8B1BA5D657}" type="parTrans" cxnId="{D87B128D-0F9B-411A-966A-0387A6512372}">
      <dgm:prSet/>
      <dgm:spPr/>
      <dgm:t>
        <a:bodyPr/>
        <a:lstStyle/>
        <a:p>
          <a:endParaRPr lang="en-AU"/>
        </a:p>
      </dgm:t>
    </dgm:pt>
    <dgm:pt modelId="{A31256D2-2C7A-42C9-AB0F-444718E2B4C6}" type="sibTrans" cxnId="{D87B128D-0F9B-411A-966A-0387A6512372}">
      <dgm:prSet/>
      <dgm:spPr/>
      <dgm:t>
        <a:bodyPr/>
        <a:lstStyle/>
        <a:p>
          <a:endParaRPr lang="en-AU"/>
        </a:p>
      </dgm:t>
    </dgm:pt>
    <dgm:pt modelId="{D2012ABF-9672-4A2D-B68D-5E2D95858A23}">
      <dgm:prSet phldrT="[Text]"/>
      <dgm:spPr>
        <a:solidFill>
          <a:srgbClr val="FFB900"/>
        </a:solidFill>
      </dgm:spPr>
      <dgm:t>
        <a:bodyPr/>
        <a:lstStyle/>
        <a:p>
          <a:pPr>
            <a:buFont typeface="+mj-lt"/>
            <a:buAutoNum type="arabicPeriod"/>
          </a:pPr>
          <a:r>
            <a:rPr lang="en-AU">
              <a:solidFill>
                <a:sysClr val="windowText" lastClr="000000"/>
              </a:solidFill>
            </a:rPr>
            <a:t>Step 2: BCDR Engineer stops Chaos Experiment and starts the app service in the primary region</a:t>
          </a:r>
        </a:p>
      </dgm:t>
    </dgm:pt>
    <dgm:pt modelId="{0D2D9183-EF57-4FFC-849A-0867A83A2B02}" type="parTrans" cxnId="{A353CE53-1A45-41C8-9AED-27CF452E64A9}">
      <dgm:prSet/>
      <dgm:spPr/>
      <dgm:t>
        <a:bodyPr/>
        <a:lstStyle/>
        <a:p>
          <a:endParaRPr lang="en-AU"/>
        </a:p>
      </dgm:t>
    </dgm:pt>
    <dgm:pt modelId="{EC662882-0C55-42A2-BD57-FF503F27B004}" type="sibTrans" cxnId="{A353CE53-1A45-41C8-9AED-27CF452E64A9}">
      <dgm:prSet/>
      <dgm:spPr/>
      <dgm:t>
        <a:bodyPr/>
        <a:lstStyle/>
        <a:p>
          <a:endParaRPr lang="en-AU"/>
        </a:p>
      </dgm:t>
    </dgm:pt>
    <dgm:pt modelId="{0147CA23-E949-40FE-8A67-B6F0E9ABAB3D}">
      <dgm:prSet phldrT="[Text]"/>
      <dgm:spPr>
        <a:solidFill>
          <a:srgbClr val="00A4EF"/>
        </a:solidFill>
      </dgm:spPr>
      <dgm:t>
        <a:bodyPr/>
        <a:lstStyle/>
        <a:p>
          <a:pPr>
            <a:buFont typeface="+mj-lt"/>
            <a:buAutoNum type="arabicPeriod"/>
          </a:pPr>
          <a:r>
            <a:rPr lang="en-AU">
              <a:solidFill>
                <a:sysClr val="windowText" lastClr="000000"/>
              </a:solidFill>
            </a:rPr>
            <a:t>Step 4: BCDR Engineer confirms that App Service in the primary region is online and accepting traffic</a:t>
          </a:r>
        </a:p>
      </dgm:t>
    </dgm:pt>
    <dgm:pt modelId="{C2F678B5-E074-4731-9C0F-36EC378C1E4C}" type="parTrans" cxnId="{E3386F48-BA2E-4047-B238-37713A5DA40F}">
      <dgm:prSet/>
      <dgm:spPr/>
      <dgm:t>
        <a:bodyPr/>
        <a:lstStyle/>
        <a:p>
          <a:endParaRPr lang="en-AU"/>
        </a:p>
      </dgm:t>
    </dgm:pt>
    <dgm:pt modelId="{92DA0C7A-CBC0-400A-8913-17743B937DC6}" type="sibTrans" cxnId="{E3386F48-BA2E-4047-B238-37713A5DA40F}">
      <dgm:prSet/>
      <dgm:spPr/>
      <dgm:t>
        <a:bodyPr/>
        <a:lstStyle/>
        <a:p>
          <a:endParaRPr lang="en-AU"/>
        </a:p>
      </dgm:t>
    </dgm:pt>
    <dgm:pt modelId="{151A6EC2-2397-447D-A3B6-C33187B64834}">
      <dgm:prSet phldrT="[Text]"/>
      <dgm:spPr>
        <a:solidFill>
          <a:srgbClr val="F25022"/>
        </a:solidFill>
      </dgm:spPr>
      <dgm:t>
        <a:bodyPr/>
        <a:lstStyle/>
        <a:p>
          <a:pPr>
            <a:buFont typeface="+mj-lt"/>
            <a:buAutoNum type="arabicPeriod"/>
          </a:pPr>
          <a:r>
            <a:rPr lang="en-AU">
              <a:solidFill>
                <a:schemeClr val="bg1"/>
              </a:solidFill>
            </a:rPr>
            <a:t>Step 5: BCDR Engineer confirms that Front Door is now routing traffic back to the primary region</a:t>
          </a:r>
        </a:p>
      </dgm:t>
    </dgm:pt>
    <dgm:pt modelId="{C77B53E5-E009-4569-B4F7-42DA73907E75}" type="parTrans" cxnId="{E1DCF730-A482-4C15-B70B-56B52D24DE8B}">
      <dgm:prSet/>
      <dgm:spPr/>
      <dgm:t>
        <a:bodyPr/>
        <a:lstStyle/>
        <a:p>
          <a:endParaRPr lang="en-AU"/>
        </a:p>
      </dgm:t>
    </dgm:pt>
    <dgm:pt modelId="{60F6F0B4-D524-4819-9788-8EF97DAB079A}" type="sibTrans" cxnId="{E1DCF730-A482-4C15-B70B-56B52D24DE8B}">
      <dgm:prSet/>
      <dgm:spPr/>
      <dgm:t>
        <a:bodyPr/>
        <a:lstStyle/>
        <a:p>
          <a:endParaRPr lang="en-AU"/>
        </a:p>
      </dgm:t>
    </dgm:pt>
    <dgm:pt modelId="{EE3D423D-BE48-472E-9471-C8BFD93FBBF2}">
      <dgm:prSet phldrT="[Text]"/>
      <dgm:spPr>
        <a:solidFill>
          <a:srgbClr val="7FBA00"/>
        </a:solidFill>
      </dgm:spPr>
      <dgm:t>
        <a:bodyPr/>
        <a:lstStyle/>
        <a:p>
          <a:pPr>
            <a:buFont typeface="+mj-lt"/>
            <a:buAutoNum type="arabicPeriod"/>
          </a:pPr>
          <a:r>
            <a:rPr lang="en-AU" b="0" i="0">
              <a:solidFill>
                <a:sysClr val="windowText" lastClr="000000"/>
              </a:solidFill>
            </a:rPr>
            <a:t>Step 3: UAT Test Plan is executed again in full to validate the failed back status and duration for each step</a:t>
          </a:r>
          <a:endParaRPr lang="en-AU">
            <a:solidFill>
              <a:sysClr val="windowText" lastClr="000000"/>
            </a:solidFill>
          </a:endParaRPr>
        </a:p>
      </dgm:t>
    </dgm:pt>
    <dgm:pt modelId="{88AE06E9-EFCD-45D3-9810-706EC996D967}" type="parTrans" cxnId="{740A7D36-3633-46C5-B559-E513EB4BC218}">
      <dgm:prSet/>
      <dgm:spPr/>
      <dgm:t>
        <a:bodyPr/>
        <a:lstStyle/>
        <a:p>
          <a:endParaRPr lang="en-AU"/>
        </a:p>
      </dgm:t>
    </dgm:pt>
    <dgm:pt modelId="{C33A5CA0-BBD9-4E30-9F95-34FB55A84C68}" type="sibTrans" cxnId="{740A7D36-3633-46C5-B559-E513EB4BC218}">
      <dgm:prSet/>
      <dgm:spPr/>
      <dgm:t>
        <a:bodyPr/>
        <a:lstStyle/>
        <a:p>
          <a:endParaRPr lang="en-AU"/>
        </a:p>
      </dgm:t>
    </dgm:pt>
    <dgm:pt modelId="{D551F121-6D5A-4B39-B36A-BE8BA053C7EC}">
      <dgm:prSet phldrT="[Text]"/>
      <dgm:spPr>
        <a:solidFill>
          <a:srgbClr val="7FBA00"/>
        </a:solidFill>
      </dgm:spPr>
      <dgm:t>
        <a:bodyPr/>
        <a:lstStyle/>
        <a:p>
          <a:pPr>
            <a:buFont typeface="+mj-lt"/>
            <a:buAutoNum type="arabicPeriod"/>
          </a:pPr>
          <a:r>
            <a:rPr lang="en-AU">
              <a:solidFill>
                <a:sysClr val="windowText" lastClr="000000"/>
              </a:solidFill>
            </a:rPr>
            <a:t>Step 8: </a:t>
          </a:r>
          <a:r>
            <a:rPr lang="en-AU" b="0" i="0">
              <a:solidFill>
                <a:sysClr val="windowText" lastClr="000000"/>
              </a:solidFill>
            </a:rPr>
            <a:t>BCDR Engineer updates -</a:t>
          </a:r>
          <a:endParaRPr lang="en-AU">
            <a:solidFill>
              <a:sysClr val="windowText" lastClr="000000"/>
            </a:solidFill>
          </a:endParaRPr>
        </a:p>
      </dgm:t>
    </dgm:pt>
    <dgm:pt modelId="{489FA5C1-84E4-473F-8E56-7460FFC3FEE9}" type="parTrans" cxnId="{99CE1F29-EF2C-45AC-B065-715B0FE20155}">
      <dgm:prSet/>
      <dgm:spPr/>
      <dgm:t>
        <a:bodyPr/>
        <a:lstStyle/>
        <a:p>
          <a:endParaRPr lang="en-AU"/>
        </a:p>
      </dgm:t>
    </dgm:pt>
    <dgm:pt modelId="{A0C5743F-1863-40F1-B7A8-8A4F4D07C473}" type="sibTrans" cxnId="{99CE1F29-EF2C-45AC-B065-715B0FE20155}">
      <dgm:prSet/>
      <dgm:spPr/>
      <dgm:t>
        <a:bodyPr/>
        <a:lstStyle/>
        <a:p>
          <a:endParaRPr lang="en-AU"/>
        </a:p>
      </dgm:t>
    </dgm:pt>
    <dgm:pt modelId="{CBC50B14-747C-40AF-88E6-BBF427A4821B}">
      <dgm:prSet phldrT="[Text]"/>
      <dgm:spPr>
        <a:solidFill>
          <a:srgbClr val="7FBA00"/>
        </a:solidFill>
      </dgm:spPr>
      <dgm:t>
        <a:bodyPr/>
        <a:lstStyle/>
        <a:p>
          <a:pPr>
            <a:buFont typeface="+mj-lt"/>
            <a:buAutoNum type="arabicPeriod"/>
          </a:pPr>
          <a:r>
            <a:rPr lang="en-AU" b="0" i="0">
              <a:solidFill>
                <a:sysClr val="windowText" lastClr="000000"/>
              </a:solidFill>
            </a:rPr>
            <a:t>Application Test Plan Summary</a:t>
          </a:r>
          <a:endParaRPr lang="en-AU">
            <a:solidFill>
              <a:sysClr val="windowText" lastClr="000000"/>
            </a:solidFill>
          </a:endParaRPr>
        </a:p>
      </dgm:t>
    </dgm:pt>
    <dgm:pt modelId="{B7F76608-6ED0-44A2-95E6-98D90FC2166C}" type="parTrans" cxnId="{F4F75EBD-9894-4E51-81D5-EAA180F85934}">
      <dgm:prSet/>
      <dgm:spPr/>
      <dgm:t>
        <a:bodyPr/>
        <a:lstStyle/>
        <a:p>
          <a:endParaRPr lang="en-AU"/>
        </a:p>
      </dgm:t>
    </dgm:pt>
    <dgm:pt modelId="{6A746AE8-10EF-44FE-8CA1-162178BE7333}" type="sibTrans" cxnId="{F4F75EBD-9894-4E51-81D5-EAA180F85934}">
      <dgm:prSet/>
      <dgm:spPr/>
      <dgm:t>
        <a:bodyPr/>
        <a:lstStyle/>
        <a:p>
          <a:endParaRPr lang="en-AU"/>
        </a:p>
      </dgm:t>
    </dgm:pt>
    <dgm:pt modelId="{2B852354-5A87-4B03-95E8-4CA43F4D11D5}">
      <dgm:prSet phldrT="[Text]"/>
      <dgm:spPr>
        <a:solidFill>
          <a:srgbClr val="7FBA00"/>
        </a:solidFill>
      </dgm:spPr>
      <dgm:t>
        <a:bodyPr/>
        <a:lstStyle/>
        <a:p>
          <a:pPr>
            <a:buFont typeface="+mj-lt"/>
            <a:buAutoNum type="arabicPeriod"/>
          </a:pPr>
          <a:r>
            <a:rPr lang="en-AU" b="0" i="0">
              <a:solidFill>
                <a:sysClr val="windowText" lastClr="000000"/>
              </a:solidFill>
            </a:rPr>
            <a:t>BCDR Dashboard</a:t>
          </a:r>
          <a:endParaRPr lang="en-AU">
            <a:solidFill>
              <a:sysClr val="windowText" lastClr="000000"/>
            </a:solidFill>
          </a:endParaRPr>
        </a:p>
      </dgm:t>
    </dgm:pt>
    <dgm:pt modelId="{42866F81-D45B-452D-BC08-7228C5F9C8E1}" type="parTrans" cxnId="{5219C786-0226-40DE-9633-EBF879A7FD17}">
      <dgm:prSet/>
      <dgm:spPr/>
      <dgm:t>
        <a:bodyPr/>
        <a:lstStyle/>
        <a:p>
          <a:endParaRPr lang="en-AU"/>
        </a:p>
      </dgm:t>
    </dgm:pt>
    <dgm:pt modelId="{F6D471F3-B22A-45B4-BAFD-23AF20F4BAC4}" type="sibTrans" cxnId="{5219C786-0226-40DE-9633-EBF879A7FD17}">
      <dgm:prSet/>
      <dgm:spPr/>
      <dgm:t>
        <a:bodyPr/>
        <a:lstStyle/>
        <a:p>
          <a:endParaRPr lang="en-AU"/>
        </a:p>
      </dgm:t>
    </dgm:pt>
    <dgm:pt modelId="{7EA2D25D-8F04-4271-913C-A84B170CDFF7}">
      <dgm:prSet phldrT="[Text]"/>
      <dgm:spPr>
        <a:solidFill>
          <a:srgbClr val="7FBA00"/>
        </a:solidFill>
      </dgm:spPr>
      <dgm:t>
        <a:bodyPr/>
        <a:lstStyle/>
        <a:p>
          <a:pPr>
            <a:buFont typeface="+mj-lt"/>
            <a:buAutoNum type="arabicPeriod"/>
          </a:pPr>
          <a:r>
            <a:rPr lang="en-AU">
              <a:solidFill>
                <a:sysClr val="windowText" lastClr="000000"/>
              </a:solidFill>
            </a:rPr>
            <a:t>Application Business Impact Assessment</a:t>
          </a:r>
        </a:p>
      </dgm:t>
    </dgm:pt>
    <dgm:pt modelId="{F2382E6D-15C4-4264-8091-337776697B95}" type="parTrans" cxnId="{0C11581F-448A-44D6-8EB5-81A1C80DC01D}">
      <dgm:prSet/>
      <dgm:spPr/>
      <dgm:t>
        <a:bodyPr/>
        <a:lstStyle/>
        <a:p>
          <a:endParaRPr lang="en-AU"/>
        </a:p>
      </dgm:t>
    </dgm:pt>
    <dgm:pt modelId="{5905F432-D394-4712-97A7-BB67457C0A44}" type="sibTrans" cxnId="{0C11581F-448A-44D6-8EB5-81A1C80DC01D}">
      <dgm:prSet/>
      <dgm:spPr/>
      <dgm:t>
        <a:bodyPr/>
        <a:lstStyle/>
        <a:p>
          <a:endParaRPr lang="en-AU"/>
        </a:p>
      </dgm:t>
    </dgm:pt>
    <dgm:pt modelId="{9C87E151-1288-4DA1-9D51-8454172F8975}">
      <dgm:prSet phldrT="[Text]"/>
      <dgm:spPr>
        <a:solidFill>
          <a:srgbClr val="00A4EF"/>
        </a:solidFill>
      </dgm:spPr>
      <dgm:t>
        <a:bodyPr/>
        <a:lstStyle/>
        <a:p>
          <a:pPr>
            <a:buFont typeface="+mj-lt"/>
            <a:buAutoNum type="arabicPeriod"/>
          </a:pPr>
          <a:r>
            <a:rPr lang="en-AU">
              <a:solidFill>
                <a:sysClr val="windowText" lastClr="000000"/>
              </a:solidFill>
            </a:rPr>
            <a:t>Step 9: </a:t>
          </a:r>
          <a:r>
            <a:rPr lang="en-AU" b="0" i="0">
              <a:solidFill>
                <a:sysClr val="windowText" lastClr="000000"/>
              </a:solidFill>
            </a:rPr>
            <a:t>Business Owner review and sign off Test Results on -</a:t>
          </a:r>
          <a:endParaRPr lang="en-AU">
            <a:solidFill>
              <a:sysClr val="windowText" lastClr="000000"/>
            </a:solidFill>
          </a:endParaRPr>
        </a:p>
      </dgm:t>
    </dgm:pt>
    <dgm:pt modelId="{E56E936A-9726-4216-8794-7D479455EC13}" type="parTrans" cxnId="{2697B728-85D4-4E71-AC3C-FDF4B2721CE3}">
      <dgm:prSet/>
      <dgm:spPr/>
      <dgm:t>
        <a:bodyPr/>
        <a:lstStyle/>
        <a:p>
          <a:endParaRPr lang="en-AU"/>
        </a:p>
      </dgm:t>
    </dgm:pt>
    <dgm:pt modelId="{C78ECF13-21A2-4EEF-B85C-25C8B6B3921B}" type="sibTrans" cxnId="{2697B728-85D4-4E71-AC3C-FDF4B2721CE3}">
      <dgm:prSet/>
      <dgm:spPr/>
      <dgm:t>
        <a:bodyPr/>
        <a:lstStyle/>
        <a:p>
          <a:endParaRPr lang="en-AU"/>
        </a:p>
      </dgm:t>
    </dgm:pt>
    <dgm:pt modelId="{32BB85D2-CB1B-4D9F-ABC8-BC9C6F7DCEB4}">
      <dgm:prSet phldrT="[Text]"/>
      <dgm:spPr>
        <a:solidFill>
          <a:srgbClr val="00A4EF"/>
        </a:solidFill>
      </dgm:spPr>
      <dgm:t>
        <a:bodyPr/>
        <a:lstStyle/>
        <a:p>
          <a:pPr>
            <a:buFont typeface="+mj-lt"/>
            <a:buAutoNum type="arabicPeriod"/>
          </a:pPr>
          <a:r>
            <a:rPr lang="en-AU">
              <a:solidFill>
                <a:sysClr val="windowText" lastClr="000000"/>
              </a:solidFill>
            </a:rPr>
            <a:t>Application Business Impact Assessment</a:t>
          </a:r>
        </a:p>
      </dgm:t>
    </dgm:pt>
    <dgm:pt modelId="{3B3788FE-5EDE-4D4F-9D54-15AD93247C6D}" type="parTrans" cxnId="{66079919-A176-47A1-B798-3E00F52CE4D3}">
      <dgm:prSet/>
      <dgm:spPr/>
      <dgm:t>
        <a:bodyPr/>
        <a:lstStyle/>
        <a:p>
          <a:endParaRPr lang="en-AU"/>
        </a:p>
      </dgm:t>
    </dgm:pt>
    <dgm:pt modelId="{EF36A0C1-BDA3-4FD0-BBE3-0CAE0A50CB03}" type="sibTrans" cxnId="{66079919-A176-47A1-B798-3E00F52CE4D3}">
      <dgm:prSet/>
      <dgm:spPr/>
      <dgm:t>
        <a:bodyPr/>
        <a:lstStyle/>
        <a:p>
          <a:endParaRPr lang="en-AU"/>
        </a:p>
      </dgm:t>
    </dgm:pt>
    <dgm:pt modelId="{B2915DAE-100C-42F9-BB85-846551530149}">
      <dgm:prSet phldrT="[Text]"/>
      <dgm:spPr>
        <a:solidFill>
          <a:srgbClr val="00A4EF"/>
        </a:solidFill>
      </dgm:spPr>
      <dgm:t>
        <a:bodyPr/>
        <a:lstStyle/>
        <a:p>
          <a:pPr>
            <a:buFont typeface="+mj-lt"/>
            <a:buAutoNum type="arabicPeriod"/>
          </a:pPr>
          <a:r>
            <a:rPr lang="en-AU" b="0" i="0">
              <a:solidFill>
                <a:sysClr val="windowText" lastClr="000000"/>
              </a:solidFill>
            </a:rPr>
            <a:t>Application Test Plan Summary</a:t>
          </a:r>
          <a:endParaRPr lang="en-AU">
            <a:solidFill>
              <a:sysClr val="windowText" lastClr="000000"/>
            </a:solidFill>
          </a:endParaRPr>
        </a:p>
      </dgm:t>
    </dgm:pt>
    <dgm:pt modelId="{86158C64-2CED-445F-9FAC-EA1053CBC723}" type="parTrans" cxnId="{082F5D74-49DB-41C5-866F-DDB6EC268D59}">
      <dgm:prSet/>
      <dgm:spPr/>
      <dgm:t>
        <a:bodyPr/>
        <a:lstStyle/>
        <a:p>
          <a:endParaRPr lang="en-AU"/>
        </a:p>
      </dgm:t>
    </dgm:pt>
    <dgm:pt modelId="{66B941D7-0FCC-4E88-A690-700B74F94A9E}" type="sibTrans" cxnId="{082F5D74-49DB-41C5-866F-DDB6EC268D59}">
      <dgm:prSet/>
      <dgm:spPr/>
      <dgm:t>
        <a:bodyPr/>
        <a:lstStyle/>
        <a:p>
          <a:endParaRPr lang="en-AU"/>
        </a:p>
      </dgm:t>
    </dgm:pt>
    <dgm:pt modelId="{A886C226-DB1D-4136-A332-9DA996912CF2}">
      <dgm:prSet phldrT="[Text]"/>
      <dgm:spPr>
        <a:solidFill>
          <a:srgbClr val="00A4EF"/>
        </a:solidFill>
      </dgm:spPr>
      <dgm:t>
        <a:bodyPr/>
        <a:lstStyle/>
        <a:p>
          <a:r>
            <a:rPr lang="en-AU" b="0" i="0">
              <a:solidFill>
                <a:sysClr val="windowText" lastClr="000000"/>
              </a:solidFill>
            </a:rPr>
            <a:t>BCDR Dashboard</a:t>
          </a:r>
          <a:endParaRPr lang="en-AU"/>
        </a:p>
      </dgm:t>
    </dgm:pt>
    <dgm:pt modelId="{E533C917-05FA-4D3E-9F73-1D4269F0CDC0}" type="parTrans" cxnId="{BE5133AD-5524-4D6F-9C2D-87A58A5CAC8F}">
      <dgm:prSet/>
      <dgm:spPr/>
      <dgm:t>
        <a:bodyPr/>
        <a:lstStyle/>
        <a:p>
          <a:endParaRPr lang="en-AU"/>
        </a:p>
      </dgm:t>
    </dgm:pt>
    <dgm:pt modelId="{1FB24A78-A2C3-47D4-B406-4A50CB8248EC}" type="sibTrans" cxnId="{BE5133AD-5524-4D6F-9C2D-87A58A5CAC8F}">
      <dgm:prSet/>
      <dgm:spPr/>
      <dgm:t>
        <a:bodyPr/>
        <a:lstStyle/>
        <a:p>
          <a:endParaRPr lang="en-AU"/>
        </a:p>
      </dgm:t>
    </dgm:pt>
    <dgm:pt modelId="{B76AAC50-A94F-404B-8BFC-9F3550DBD57E}">
      <dgm:prSet phldrT="[Text]"/>
      <dgm:spPr>
        <a:solidFill>
          <a:srgbClr val="FFB900"/>
        </a:solidFill>
      </dgm:spPr>
      <dgm:t>
        <a:bodyPr/>
        <a:lstStyle/>
        <a:p>
          <a:pPr>
            <a:buFont typeface="+mj-lt"/>
            <a:buAutoNum type="arabicPeriod"/>
          </a:pPr>
          <a:r>
            <a:rPr lang="en-AU">
              <a:solidFill>
                <a:sysClr val="windowText" lastClr="000000"/>
              </a:solidFill>
            </a:rPr>
            <a:t>Step 7: BCDR Engineer reviews monitoring data during the test and compares it with an established baseline</a:t>
          </a:r>
        </a:p>
      </dgm:t>
    </dgm:pt>
    <dgm:pt modelId="{FA76B852-4F82-416C-96F7-718BE4CF943B}" type="parTrans" cxnId="{6FD579E0-A187-4BE8-89FC-64D6DDD3A6CB}">
      <dgm:prSet/>
      <dgm:spPr/>
      <dgm:t>
        <a:bodyPr/>
        <a:lstStyle/>
        <a:p>
          <a:endParaRPr lang="en-AU"/>
        </a:p>
      </dgm:t>
    </dgm:pt>
    <dgm:pt modelId="{0CDFDE1C-069D-45DB-9835-190622A0EBAA}" type="sibTrans" cxnId="{6FD579E0-A187-4BE8-89FC-64D6DDD3A6CB}">
      <dgm:prSet/>
      <dgm:spPr/>
      <dgm:t>
        <a:bodyPr/>
        <a:lstStyle/>
        <a:p>
          <a:endParaRPr lang="en-AU"/>
        </a:p>
      </dgm:t>
    </dgm:pt>
    <dgm:pt modelId="{670BD6D5-7C3E-4CA0-9F36-7A3735C28603}" type="pres">
      <dgm:prSet presAssocID="{04C6B1E6-9E0A-4CEF-A498-7C126ED0BE42}" presName="Name0" presStyleCnt="0">
        <dgm:presLayoutVars>
          <dgm:dir/>
          <dgm:resizeHandles val="exact"/>
        </dgm:presLayoutVars>
      </dgm:prSet>
      <dgm:spPr/>
    </dgm:pt>
    <dgm:pt modelId="{704043AB-80C6-477D-8E81-CB9170335BA3}" type="pres">
      <dgm:prSet presAssocID="{963A69D2-B0BF-4F47-AADD-6793B3E116AD}" presName="node" presStyleLbl="node1" presStyleIdx="0" presStyleCnt="8">
        <dgm:presLayoutVars>
          <dgm:bulletEnabled val="1"/>
        </dgm:presLayoutVars>
      </dgm:prSet>
      <dgm:spPr/>
    </dgm:pt>
    <dgm:pt modelId="{344182A4-37C0-4E7B-B805-3DEC958888BB}" type="pres">
      <dgm:prSet presAssocID="{A31256D2-2C7A-42C9-AB0F-444718E2B4C6}" presName="sibTrans" presStyleLbl="sibTrans1D1" presStyleIdx="0" presStyleCnt="7"/>
      <dgm:spPr/>
    </dgm:pt>
    <dgm:pt modelId="{7EDD551A-BD0B-457D-9666-EEE985A0DA21}" type="pres">
      <dgm:prSet presAssocID="{A31256D2-2C7A-42C9-AB0F-444718E2B4C6}" presName="connectorText" presStyleLbl="sibTrans1D1" presStyleIdx="0" presStyleCnt="7"/>
      <dgm:spPr/>
    </dgm:pt>
    <dgm:pt modelId="{B16DD166-5E53-438B-9BD3-652B3D58548B}" type="pres">
      <dgm:prSet presAssocID="{D2012ABF-9672-4A2D-B68D-5E2D95858A23}" presName="node" presStyleLbl="node1" presStyleIdx="1" presStyleCnt="8">
        <dgm:presLayoutVars>
          <dgm:bulletEnabled val="1"/>
        </dgm:presLayoutVars>
      </dgm:prSet>
      <dgm:spPr/>
    </dgm:pt>
    <dgm:pt modelId="{2966A84D-E75B-4B3C-B9C4-F49CF9BDDF36}" type="pres">
      <dgm:prSet presAssocID="{EC662882-0C55-42A2-BD57-FF503F27B004}" presName="sibTrans" presStyleLbl="sibTrans1D1" presStyleIdx="1" presStyleCnt="7"/>
      <dgm:spPr/>
    </dgm:pt>
    <dgm:pt modelId="{E8883108-4BFB-4E6B-A691-2ECD5BB51591}" type="pres">
      <dgm:prSet presAssocID="{EC662882-0C55-42A2-BD57-FF503F27B004}" presName="connectorText" presStyleLbl="sibTrans1D1" presStyleIdx="1" presStyleCnt="7"/>
      <dgm:spPr/>
    </dgm:pt>
    <dgm:pt modelId="{83D4C33A-0E81-47D4-8577-BC605B185BBB}" type="pres">
      <dgm:prSet presAssocID="{EE3D423D-BE48-472E-9471-C8BFD93FBBF2}" presName="node" presStyleLbl="node1" presStyleIdx="2" presStyleCnt="8" custLinFactNeighborX="371">
        <dgm:presLayoutVars>
          <dgm:bulletEnabled val="1"/>
        </dgm:presLayoutVars>
      </dgm:prSet>
      <dgm:spPr/>
    </dgm:pt>
    <dgm:pt modelId="{4F01D6A2-650C-476D-B4CF-A0A38F1B91C3}" type="pres">
      <dgm:prSet presAssocID="{C33A5CA0-BBD9-4E30-9F95-34FB55A84C68}" presName="sibTrans" presStyleLbl="sibTrans1D1" presStyleIdx="2" presStyleCnt="7"/>
      <dgm:spPr/>
    </dgm:pt>
    <dgm:pt modelId="{C6A06D50-F802-4B49-922F-07285C56D699}" type="pres">
      <dgm:prSet presAssocID="{C33A5CA0-BBD9-4E30-9F95-34FB55A84C68}" presName="connectorText" presStyleLbl="sibTrans1D1" presStyleIdx="2" presStyleCnt="7"/>
      <dgm:spPr/>
    </dgm:pt>
    <dgm:pt modelId="{BAFA43E4-F415-4A6D-A0D4-03DA9964343C}" type="pres">
      <dgm:prSet presAssocID="{0147CA23-E949-40FE-8A67-B6F0E9ABAB3D}" presName="node" presStyleLbl="node1" presStyleIdx="3" presStyleCnt="8">
        <dgm:presLayoutVars>
          <dgm:bulletEnabled val="1"/>
        </dgm:presLayoutVars>
      </dgm:prSet>
      <dgm:spPr/>
    </dgm:pt>
    <dgm:pt modelId="{19B66FC7-EC42-4328-B797-0B6E07513D9F}" type="pres">
      <dgm:prSet presAssocID="{92DA0C7A-CBC0-400A-8913-17743B937DC6}" presName="sibTrans" presStyleLbl="sibTrans1D1" presStyleIdx="3" presStyleCnt="7"/>
      <dgm:spPr/>
    </dgm:pt>
    <dgm:pt modelId="{AD6F13D6-B00C-4C0D-859E-81A8BDA9398D}" type="pres">
      <dgm:prSet presAssocID="{92DA0C7A-CBC0-400A-8913-17743B937DC6}" presName="connectorText" presStyleLbl="sibTrans1D1" presStyleIdx="3" presStyleCnt="7"/>
      <dgm:spPr/>
    </dgm:pt>
    <dgm:pt modelId="{5E4B7EDF-777B-4B09-A4FC-3229534D87F0}" type="pres">
      <dgm:prSet presAssocID="{151A6EC2-2397-447D-A3B6-C33187B64834}" presName="node" presStyleLbl="node1" presStyleIdx="4" presStyleCnt="8">
        <dgm:presLayoutVars>
          <dgm:bulletEnabled val="1"/>
        </dgm:presLayoutVars>
      </dgm:prSet>
      <dgm:spPr/>
    </dgm:pt>
    <dgm:pt modelId="{94A73431-F3C7-4819-90A6-2DA23EEB8498}" type="pres">
      <dgm:prSet presAssocID="{60F6F0B4-D524-4819-9788-8EF97DAB079A}" presName="sibTrans" presStyleLbl="sibTrans1D1" presStyleIdx="4" presStyleCnt="7"/>
      <dgm:spPr/>
    </dgm:pt>
    <dgm:pt modelId="{259DBB62-E85C-4BAB-BC3B-DD206C25CAC8}" type="pres">
      <dgm:prSet presAssocID="{60F6F0B4-D524-4819-9788-8EF97DAB079A}" presName="connectorText" presStyleLbl="sibTrans1D1" presStyleIdx="4" presStyleCnt="7"/>
      <dgm:spPr/>
    </dgm:pt>
    <dgm:pt modelId="{C6C4C6BC-07FD-4207-A427-7104B71C5972}" type="pres">
      <dgm:prSet presAssocID="{B76AAC50-A94F-404B-8BFC-9F3550DBD57E}" presName="node" presStyleLbl="node1" presStyleIdx="5" presStyleCnt="8">
        <dgm:presLayoutVars>
          <dgm:bulletEnabled val="1"/>
        </dgm:presLayoutVars>
      </dgm:prSet>
      <dgm:spPr/>
    </dgm:pt>
    <dgm:pt modelId="{7AE3D2AF-4DD2-4A44-A10F-678EB38391DD}" type="pres">
      <dgm:prSet presAssocID="{0CDFDE1C-069D-45DB-9835-190622A0EBAA}" presName="sibTrans" presStyleLbl="sibTrans1D1" presStyleIdx="5" presStyleCnt="7"/>
      <dgm:spPr/>
    </dgm:pt>
    <dgm:pt modelId="{049C4DC6-EFA5-4577-BA91-A9E8F32C5436}" type="pres">
      <dgm:prSet presAssocID="{0CDFDE1C-069D-45DB-9835-190622A0EBAA}" presName="connectorText" presStyleLbl="sibTrans1D1" presStyleIdx="5" presStyleCnt="7"/>
      <dgm:spPr/>
    </dgm:pt>
    <dgm:pt modelId="{0963ADED-744C-4DC0-BA04-07599AD301ED}" type="pres">
      <dgm:prSet presAssocID="{D551F121-6D5A-4B39-B36A-BE8BA053C7EC}" presName="node" presStyleLbl="node1" presStyleIdx="6" presStyleCnt="8">
        <dgm:presLayoutVars>
          <dgm:bulletEnabled val="1"/>
        </dgm:presLayoutVars>
      </dgm:prSet>
      <dgm:spPr/>
    </dgm:pt>
    <dgm:pt modelId="{F54551D9-93E3-496C-A9B0-8034BAC50439}" type="pres">
      <dgm:prSet presAssocID="{A0C5743F-1863-40F1-B7A8-8A4F4D07C473}" presName="sibTrans" presStyleLbl="sibTrans1D1" presStyleIdx="6" presStyleCnt="7"/>
      <dgm:spPr/>
    </dgm:pt>
    <dgm:pt modelId="{7B9F2492-A342-472D-BB10-EA662EC63A0C}" type="pres">
      <dgm:prSet presAssocID="{A0C5743F-1863-40F1-B7A8-8A4F4D07C473}" presName="connectorText" presStyleLbl="sibTrans1D1" presStyleIdx="6" presStyleCnt="7"/>
      <dgm:spPr/>
    </dgm:pt>
    <dgm:pt modelId="{42196E1A-2978-48DD-B3C8-02E7E2D4DE1E}" type="pres">
      <dgm:prSet presAssocID="{9C87E151-1288-4DA1-9D51-8454172F8975}" presName="node" presStyleLbl="node1" presStyleIdx="7" presStyleCnt="8">
        <dgm:presLayoutVars>
          <dgm:bulletEnabled val="1"/>
        </dgm:presLayoutVars>
      </dgm:prSet>
      <dgm:spPr/>
    </dgm:pt>
  </dgm:ptLst>
  <dgm:cxnLst>
    <dgm:cxn modelId="{15E1E907-2EFB-42A8-A867-A5CE5444F39B}" type="presOf" srcId="{92DA0C7A-CBC0-400A-8913-17743B937DC6}" destId="{19B66FC7-EC42-4328-B797-0B6E07513D9F}" srcOrd="0" destOrd="0" presId="urn:microsoft.com/office/officeart/2005/8/layout/bProcess3"/>
    <dgm:cxn modelId="{66079919-A176-47A1-B798-3E00F52CE4D3}" srcId="{9C87E151-1288-4DA1-9D51-8454172F8975}" destId="{32BB85D2-CB1B-4D9F-ABC8-BC9C6F7DCEB4}" srcOrd="0" destOrd="0" parTransId="{3B3788FE-5EDE-4D4F-9D54-15AD93247C6D}" sibTransId="{EF36A0C1-BDA3-4FD0-BBE3-0CAE0A50CB03}"/>
    <dgm:cxn modelId="{0C11581F-448A-44D6-8EB5-81A1C80DC01D}" srcId="{D551F121-6D5A-4B39-B36A-BE8BA053C7EC}" destId="{7EA2D25D-8F04-4271-913C-A84B170CDFF7}" srcOrd="0" destOrd="0" parTransId="{F2382E6D-15C4-4264-8091-337776697B95}" sibTransId="{5905F432-D394-4712-97A7-BB67457C0A44}"/>
    <dgm:cxn modelId="{2697B728-85D4-4E71-AC3C-FDF4B2721CE3}" srcId="{04C6B1E6-9E0A-4CEF-A498-7C126ED0BE42}" destId="{9C87E151-1288-4DA1-9D51-8454172F8975}" srcOrd="7" destOrd="0" parTransId="{E56E936A-9726-4216-8794-7D479455EC13}" sibTransId="{C78ECF13-21A2-4EEF-B85C-25C8B6B3921B}"/>
    <dgm:cxn modelId="{99CE1F29-EF2C-45AC-B065-715B0FE20155}" srcId="{04C6B1E6-9E0A-4CEF-A498-7C126ED0BE42}" destId="{D551F121-6D5A-4B39-B36A-BE8BA053C7EC}" srcOrd="6" destOrd="0" parTransId="{489FA5C1-84E4-473F-8E56-7460FFC3FEE9}" sibTransId="{A0C5743F-1863-40F1-B7A8-8A4F4D07C473}"/>
    <dgm:cxn modelId="{E1DCF730-A482-4C15-B70B-56B52D24DE8B}" srcId="{04C6B1E6-9E0A-4CEF-A498-7C126ED0BE42}" destId="{151A6EC2-2397-447D-A3B6-C33187B64834}" srcOrd="4" destOrd="0" parTransId="{C77B53E5-E009-4569-B4F7-42DA73907E75}" sibTransId="{60F6F0B4-D524-4819-9788-8EF97DAB079A}"/>
    <dgm:cxn modelId="{3057B633-DA51-4EB1-8C5A-95A2CB564901}" type="presOf" srcId="{C33A5CA0-BBD9-4E30-9F95-34FB55A84C68}" destId="{4F01D6A2-650C-476D-B4CF-A0A38F1B91C3}" srcOrd="0" destOrd="0" presId="urn:microsoft.com/office/officeart/2005/8/layout/bProcess3"/>
    <dgm:cxn modelId="{740A7D36-3633-46C5-B559-E513EB4BC218}" srcId="{04C6B1E6-9E0A-4CEF-A498-7C126ED0BE42}" destId="{EE3D423D-BE48-472E-9471-C8BFD93FBBF2}" srcOrd="2" destOrd="0" parTransId="{88AE06E9-EFCD-45D3-9810-706EC996D967}" sibTransId="{C33A5CA0-BBD9-4E30-9F95-34FB55A84C68}"/>
    <dgm:cxn modelId="{9B71AE5D-F40C-4B30-A27C-F414F25CDE08}" type="presOf" srcId="{60F6F0B4-D524-4819-9788-8EF97DAB079A}" destId="{94A73431-F3C7-4819-90A6-2DA23EEB8498}" srcOrd="0" destOrd="0" presId="urn:microsoft.com/office/officeart/2005/8/layout/bProcess3"/>
    <dgm:cxn modelId="{38FE4D5E-B1E6-472F-B412-026E23FFDC09}" type="presOf" srcId="{0147CA23-E949-40FE-8A67-B6F0E9ABAB3D}" destId="{BAFA43E4-F415-4A6D-A0D4-03DA9964343C}" srcOrd="0" destOrd="0" presId="urn:microsoft.com/office/officeart/2005/8/layout/bProcess3"/>
    <dgm:cxn modelId="{90C53B62-14FF-43F5-850E-CAD5132F191B}" type="presOf" srcId="{A31256D2-2C7A-42C9-AB0F-444718E2B4C6}" destId="{344182A4-37C0-4E7B-B805-3DEC958888BB}" srcOrd="0" destOrd="0" presId="urn:microsoft.com/office/officeart/2005/8/layout/bProcess3"/>
    <dgm:cxn modelId="{DDBBA163-9FEC-496A-8F69-9EAA75B7FDCA}" type="presOf" srcId="{60F6F0B4-D524-4819-9788-8EF97DAB079A}" destId="{259DBB62-E85C-4BAB-BC3B-DD206C25CAC8}" srcOrd="1" destOrd="0" presId="urn:microsoft.com/office/officeart/2005/8/layout/bProcess3"/>
    <dgm:cxn modelId="{E0322565-1C2A-4ED5-B69B-D3935BC31CE8}" type="presOf" srcId="{151A6EC2-2397-447D-A3B6-C33187B64834}" destId="{5E4B7EDF-777B-4B09-A4FC-3229534D87F0}" srcOrd="0" destOrd="0" presId="urn:microsoft.com/office/officeart/2005/8/layout/bProcess3"/>
    <dgm:cxn modelId="{E3386F48-BA2E-4047-B238-37713A5DA40F}" srcId="{04C6B1E6-9E0A-4CEF-A498-7C126ED0BE42}" destId="{0147CA23-E949-40FE-8A67-B6F0E9ABAB3D}" srcOrd="3" destOrd="0" parTransId="{C2F678B5-E074-4731-9C0F-36EC378C1E4C}" sibTransId="{92DA0C7A-CBC0-400A-8913-17743B937DC6}"/>
    <dgm:cxn modelId="{240F574E-F545-4B97-A8B4-6D342DA4E2A5}" type="presOf" srcId="{EC662882-0C55-42A2-BD57-FF503F27B004}" destId="{E8883108-4BFB-4E6B-A691-2ECD5BB51591}" srcOrd="1" destOrd="0" presId="urn:microsoft.com/office/officeart/2005/8/layout/bProcess3"/>
    <dgm:cxn modelId="{A353CE53-1A45-41C8-9AED-27CF452E64A9}" srcId="{04C6B1E6-9E0A-4CEF-A498-7C126ED0BE42}" destId="{D2012ABF-9672-4A2D-B68D-5E2D95858A23}" srcOrd="1" destOrd="0" parTransId="{0D2D9183-EF57-4FFC-849A-0867A83A2B02}" sibTransId="{EC662882-0C55-42A2-BD57-FF503F27B004}"/>
    <dgm:cxn modelId="{082F5D74-49DB-41C5-866F-DDB6EC268D59}" srcId="{9C87E151-1288-4DA1-9D51-8454172F8975}" destId="{B2915DAE-100C-42F9-BB85-846551530149}" srcOrd="1" destOrd="0" parTransId="{86158C64-2CED-445F-9FAC-EA1053CBC723}" sibTransId="{66B941D7-0FCC-4E88-A690-700B74F94A9E}"/>
    <dgm:cxn modelId="{1A625856-6E35-4B7B-AA32-428339A0997F}" type="presOf" srcId="{B76AAC50-A94F-404B-8BFC-9F3550DBD57E}" destId="{C6C4C6BC-07FD-4207-A427-7104B71C5972}" srcOrd="0" destOrd="0" presId="urn:microsoft.com/office/officeart/2005/8/layout/bProcess3"/>
    <dgm:cxn modelId="{0510C479-CD61-407D-BA72-DC24CFD387E2}" type="presOf" srcId="{7EA2D25D-8F04-4271-913C-A84B170CDFF7}" destId="{0963ADED-744C-4DC0-BA04-07599AD301ED}" srcOrd="0" destOrd="1" presId="urn:microsoft.com/office/officeart/2005/8/layout/bProcess3"/>
    <dgm:cxn modelId="{5D0A217C-5AA7-4A94-B368-CD80C0BBA915}" type="presOf" srcId="{A31256D2-2C7A-42C9-AB0F-444718E2B4C6}" destId="{7EDD551A-BD0B-457D-9666-EEE985A0DA21}" srcOrd="1" destOrd="0" presId="urn:microsoft.com/office/officeart/2005/8/layout/bProcess3"/>
    <dgm:cxn modelId="{A1D0E77C-EBD9-408F-9CE3-56771423DC21}" type="presOf" srcId="{32BB85D2-CB1B-4D9F-ABC8-BC9C6F7DCEB4}" destId="{42196E1A-2978-48DD-B3C8-02E7E2D4DE1E}" srcOrd="0" destOrd="1" presId="urn:microsoft.com/office/officeart/2005/8/layout/bProcess3"/>
    <dgm:cxn modelId="{2F613186-F42E-404D-BFD3-E020033F19E9}" type="presOf" srcId="{A0C5743F-1863-40F1-B7A8-8A4F4D07C473}" destId="{F54551D9-93E3-496C-A9B0-8034BAC50439}" srcOrd="0" destOrd="0" presId="urn:microsoft.com/office/officeart/2005/8/layout/bProcess3"/>
    <dgm:cxn modelId="{5219C786-0226-40DE-9633-EBF879A7FD17}" srcId="{D551F121-6D5A-4B39-B36A-BE8BA053C7EC}" destId="{2B852354-5A87-4B03-95E8-4CA43F4D11D5}" srcOrd="2" destOrd="0" parTransId="{42866F81-D45B-452D-BC08-7228C5F9C8E1}" sibTransId="{F6D471F3-B22A-45B4-BAFD-23AF20F4BAC4}"/>
    <dgm:cxn modelId="{D87B128D-0F9B-411A-966A-0387A6512372}" srcId="{04C6B1E6-9E0A-4CEF-A498-7C126ED0BE42}" destId="{963A69D2-B0BF-4F47-AADD-6793B3E116AD}" srcOrd="0" destOrd="0" parTransId="{AFFC7BAD-A2D6-41C0-A31B-DA8B1BA5D657}" sibTransId="{A31256D2-2C7A-42C9-AB0F-444718E2B4C6}"/>
    <dgm:cxn modelId="{EB5F518D-ABCC-4E1A-B6CF-7C6DBF43A135}" type="presOf" srcId="{2B852354-5A87-4B03-95E8-4CA43F4D11D5}" destId="{0963ADED-744C-4DC0-BA04-07599AD301ED}" srcOrd="0" destOrd="3" presId="urn:microsoft.com/office/officeart/2005/8/layout/bProcess3"/>
    <dgm:cxn modelId="{43F4728D-3FC8-4F1D-BBD5-491FC290CF54}" type="presOf" srcId="{EC662882-0C55-42A2-BD57-FF503F27B004}" destId="{2966A84D-E75B-4B3C-B9C4-F49CF9BDDF36}" srcOrd="0" destOrd="0" presId="urn:microsoft.com/office/officeart/2005/8/layout/bProcess3"/>
    <dgm:cxn modelId="{0EF47392-D309-4A3A-B108-80F074F4164C}" type="presOf" srcId="{D551F121-6D5A-4B39-B36A-BE8BA053C7EC}" destId="{0963ADED-744C-4DC0-BA04-07599AD301ED}" srcOrd="0" destOrd="0" presId="urn:microsoft.com/office/officeart/2005/8/layout/bProcess3"/>
    <dgm:cxn modelId="{8A909F9F-424F-44D2-80CF-7958F32932D0}" type="presOf" srcId="{D2012ABF-9672-4A2D-B68D-5E2D95858A23}" destId="{B16DD166-5E53-438B-9BD3-652B3D58548B}" srcOrd="0" destOrd="0" presId="urn:microsoft.com/office/officeart/2005/8/layout/bProcess3"/>
    <dgm:cxn modelId="{F960B3A0-A6E6-4710-9AFC-A146FB2E714D}" type="presOf" srcId="{EE3D423D-BE48-472E-9471-C8BFD93FBBF2}" destId="{83D4C33A-0E81-47D4-8577-BC605B185BBB}" srcOrd="0" destOrd="0" presId="urn:microsoft.com/office/officeart/2005/8/layout/bProcess3"/>
    <dgm:cxn modelId="{7F1B73A3-A6C2-43E3-B3F4-537DF18E04B8}" type="presOf" srcId="{9C87E151-1288-4DA1-9D51-8454172F8975}" destId="{42196E1A-2978-48DD-B3C8-02E7E2D4DE1E}" srcOrd="0" destOrd="0" presId="urn:microsoft.com/office/officeart/2005/8/layout/bProcess3"/>
    <dgm:cxn modelId="{2C926EA6-4853-465C-B50F-DA5D54CB8282}" type="presOf" srcId="{0CDFDE1C-069D-45DB-9835-190622A0EBAA}" destId="{7AE3D2AF-4DD2-4A44-A10F-678EB38391DD}" srcOrd="0" destOrd="0" presId="urn:microsoft.com/office/officeart/2005/8/layout/bProcess3"/>
    <dgm:cxn modelId="{8BC0A4AA-5A50-46C9-9E37-5DA5F8E9D3A5}" type="presOf" srcId="{CBC50B14-747C-40AF-88E6-BBF427A4821B}" destId="{0963ADED-744C-4DC0-BA04-07599AD301ED}" srcOrd="0" destOrd="2" presId="urn:microsoft.com/office/officeart/2005/8/layout/bProcess3"/>
    <dgm:cxn modelId="{EBC2CEAA-7F92-44DF-9DFA-81D7F78309F6}" type="presOf" srcId="{92DA0C7A-CBC0-400A-8913-17743B937DC6}" destId="{AD6F13D6-B00C-4C0D-859E-81A8BDA9398D}" srcOrd="1" destOrd="0" presId="urn:microsoft.com/office/officeart/2005/8/layout/bProcess3"/>
    <dgm:cxn modelId="{BE5133AD-5524-4D6F-9C2D-87A58A5CAC8F}" srcId="{9C87E151-1288-4DA1-9D51-8454172F8975}" destId="{A886C226-DB1D-4136-A332-9DA996912CF2}" srcOrd="2" destOrd="0" parTransId="{E533C917-05FA-4D3E-9F73-1D4269F0CDC0}" sibTransId="{1FB24A78-A2C3-47D4-B406-4A50CB8248EC}"/>
    <dgm:cxn modelId="{1955D0B5-A5EF-490C-9736-0A96B63F9204}" type="presOf" srcId="{B2915DAE-100C-42F9-BB85-846551530149}" destId="{42196E1A-2978-48DD-B3C8-02E7E2D4DE1E}" srcOrd="0" destOrd="2" presId="urn:microsoft.com/office/officeart/2005/8/layout/bProcess3"/>
    <dgm:cxn modelId="{F4F75EBD-9894-4E51-81D5-EAA180F85934}" srcId="{D551F121-6D5A-4B39-B36A-BE8BA053C7EC}" destId="{CBC50B14-747C-40AF-88E6-BBF427A4821B}" srcOrd="1" destOrd="0" parTransId="{B7F76608-6ED0-44A2-95E6-98D90FC2166C}" sibTransId="{6A746AE8-10EF-44FE-8CA1-162178BE7333}"/>
    <dgm:cxn modelId="{A73D26D2-5951-4C48-8899-F52A0C6CAE48}" type="presOf" srcId="{0CDFDE1C-069D-45DB-9835-190622A0EBAA}" destId="{049C4DC6-EFA5-4577-BA91-A9E8F32C5436}" srcOrd="1" destOrd="0" presId="urn:microsoft.com/office/officeart/2005/8/layout/bProcess3"/>
    <dgm:cxn modelId="{2DD52CD9-7C05-49EA-8442-74F75ECC7A7E}" type="presOf" srcId="{963A69D2-B0BF-4F47-AADD-6793B3E116AD}" destId="{704043AB-80C6-477D-8E81-CB9170335BA3}" srcOrd="0" destOrd="0" presId="urn:microsoft.com/office/officeart/2005/8/layout/bProcess3"/>
    <dgm:cxn modelId="{6FD579E0-A187-4BE8-89FC-64D6DDD3A6CB}" srcId="{04C6B1E6-9E0A-4CEF-A498-7C126ED0BE42}" destId="{B76AAC50-A94F-404B-8BFC-9F3550DBD57E}" srcOrd="5" destOrd="0" parTransId="{FA76B852-4F82-416C-96F7-718BE4CF943B}" sibTransId="{0CDFDE1C-069D-45DB-9835-190622A0EBAA}"/>
    <dgm:cxn modelId="{5329D3E5-A27B-4853-BF82-F9909FBD3077}" type="presOf" srcId="{A886C226-DB1D-4136-A332-9DA996912CF2}" destId="{42196E1A-2978-48DD-B3C8-02E7E2D4DE1E}" srcOrd="0" destOrd="3" presId="urn:microsoft.com/office/officeart/2005/8/layout/bProcess3"/>
    <dgm:cxn modelId="{D6A802F5-DEC6-49E6-963A-AAD432CFDD3A}" type="presOf" srcId="{A0C5743F-1863-40F1-B7A8-8A4F4D07C473}" destId="{7B9F2492-A342-472D-BB10-EA662EC63A0C}" srcOrd="1" destOrd="0" presId="urn:microsoft.com/office/officeart/2005/8/layout/bProcess3"/>
    <dgm:cxn modelId="{29B3D3F8-4E8F-42EC-9FD5-087EE788CB0F}" type="presOf" srcId="{04C6B1E6-9E0A-4CEF-A498-7C126ED0BE42}" destId="{670BD6D5-7C3E-4CA0-9F36-7A3735C28603}" srcOrd="0" destOrd="0" presId="urn:microsoft.com/office/officeart/2005/8/layout/bProcess3"/>
    <dgm:cxn modelId="{71B40EFF-D8DC-427B-AAFB-3C8FD490F086}" type="presOf" srcId="{C33A5CA0-BBD9-4E30-9F95-34FB55A84C68}" destId="{C6A06D50-F802-4B49-922F-07285C56D699}" srcOrd="1" destOrd="0" presId="urn:microsoft.com/office/officeart/2005/8/layout/bProcess3"/>
    <dgm:cxn modelId="{02F92C13-B439-4F61-B509-E466B72B793F}" type="presParOf" srcId="{670BD6D5-7C3E-4CA0-9F36-7A3735C28603}" destId="{704043AB-80C6-477D-8E81-CB9170335BA3}" srcOrd="0" destOrd="0" presId="urn:microsoft.com/office/officeart/2005/8/layout/bProcess3"/>
    <dgm:cxn modelId="{D631F619-2553-426D-8433-8DF76B396B80}" type="presParOf" srcId="{670BD6D5-7C3E-4CA0-9F36-7A3735C28603}" destId="{344182A4-37C0-4E7B-B805-3DEC958888BB}" srcOrd="1" destOrd="0" presId="urn:microsoft.com/office/officeart/2005/8/layout/bProcess3"/>
    <dgm:cxn modelId="{1361FBBA-53C9-49E5-BFEC-347352E34B83}" type="presParOf" srcId="{344182A4-37C0-4E7B-B805-3DEC958888BB}" destId="{7EDD551A-BD0B-457D-9666-EEE985A0DA21}" srcOrd="0" destOrd="0" presId="urn:microsoft.com/office/officeart/2005/8/layout/bProcess3"/>
    <dgm:cxn modelId="{5F4FEF35-8E0C-4C4E-832D-664351270CA9}" type="presParOf" srcId="{670BD6D5-7C3E-4CA0-9F36-7A3735C28603}" destId="{B16DD166-5E53-438B-9BD3-652B3D58548B}" srcOrd="2" destOrd="0" presId="urn:microsoft.com/office/officeart/2005/8/layout/bProcess3"/>
    <dgm:cxn modelId="{E0EAA3DB-6978-4FEF-9B7A-EF3695BB2FDC}" type="presParOf" srcId="{670BD6D5-7C3E-4CA0-9F36-7A3735C28603}" destId="{2966A84D-E75B-4B3C-B9C4-F49CF9BDDF36}" srcOrd="3" destOrd="0" presId="urn:microsoft.com/office/officeart/2005/8/layout/bProcess3"/>
    <dgm:cxn modelId="{3B786C80-C415-4A64-B5E6-8E4016484187}" type="presParOf" srcId="{2966A84D-E75B-4B3C-B9C4-F49CF9BDDF36}" destId="{E8883108-4BFB-4E6B-A691-2ECD5BB51591}" srcOrd="0" destOrd="0" presId="urn:microsoft.com/office/officeart/2005/8/layout/bProcess3"/>
    <dgm:cxn modelId="{538707A0-F3BC-4860-A271-284B3AE96107}" type="presParOf" srcId="{670BD6D5-7C3E-4CA0-9F36-7A3735C28603}" destId="{83D4C33A-0E81-47D4-8577-BC605B185BBB}" srcOrd="4" destOrd="0" presId="urn:microsoft.com/office/officeart/2005/8/layout/bProcess3"/>
    <dgm:cxn modelId="{44AFFA1C-4804-4350-927B-5C39B203EC74}" type="presParOf" srcId="{670BD6D5-7C3E-4CA0-9F36-7A3735C28603}" destId="{4F01D6A2-650C-476D-B4CF-A0A38F1B91C3}" srcOrd="5" destOrd="0" presId="urn:microsoft.com/office/officeart/2005/8/layout/bProcess3"/>
    <dgm:cxn modelId="{36702F2B-79EE-47E5-BD5C-EC9B85666294}" type="presParOf" srcId="{4F01D6A2-650C-476D-B4CF-A0A38F1B91C3}" destId="{C6A06D50-F802-4B49-922F-07285C56D699}" srcOrd="0" destOrd="0" presId="urn:microsoft.com/office/officeart/2005/8/layout/bProcess3"/>
    <dgm:cxn modelId="{5ABD71E3-62A5-4192-84B2-D30ABFBA31D0}" type="presParOf" srcId="{670BD6D5-7C3E-4CA0-9F36-7A3735C28603}" destId="{BAFA43E4-F415-4A6D-A0D4-03DA9964343C}" srcOrd="6" destOrd="0" presId="urn:microsoft.com/office/officeart/2005/8/layout/bProcess3"/>
    <dgm:cxn modelId="{A16A5024-0DAC-4730-907A-7B028EE29059}" type="presParOf" srcId="{670BD6D5-7C3E-4CA0-9F36-7A3735C28603}" destId="{19B66FC7-EC42-4328-B797-0B6E07513D9F}" srcOrd="7" destOrd="0" presId="urn:microsoft.com/office/officeart/2005/8/layout/bProcess3"/>
    <dgm:cxn modelId="{C52D8A5B-1E97-4AC2-8747-12347F34B997}" type="presParOf" srcId="{19B66FC7-EC42-4328-B797-0B6E07513D9F}" destId="{AD6F13D6-B00C-4C0D-859E-81A8BDA9398D}" srcOrd="0" destOrd="0" presId="urn:microsoft.com/office/officeart/2005/8/layout/bProcess3"/>
    <dgm:cxn modelId="{F7D29419-1335-4559-BEAD-4247531FB0D6}" type="presParOf" srcId="{670BD6D5-7C3E-4CA0-9F36-7A3735C28603}" destId="{5E4B7EDF-777B-4B09-A4FC-3229534D87F0}" srcOrd="8" destOrd="0" presId="urn:microsoft.com/office/officeart/2005/8/layout/bProcess3"/>
    <dgm:cxn modelId="{D8989860-23B7-4AB2-A665-C1B6C431FF2D}" type="presParOf" srcId="{670BD6D5-7C3E-4CA0-9F36-7A3735C28603}" destId="{94A73431-F3C7-4819-90A6-2DA23EEB8498}" srcOrd="9" destOrd="0" presId="urn:microsoft.com/office/officeart/2005/8/layout/bProcess3"/>
    <dgm:cxn modelId="{169CA0BE-0BA9-4009-B29E-61DA9EA9E8D5}" type="presParOf" srcId="{94A73431-F3C7-4819-90A6-2DA23EEB8498}" destId="{259DBB62-E85C-4BAB-BC3B-DD206C25CAC8}" srcOrd="0" destOrd="0" presId="urn:microsoft.com/office/officeart/2005/8/layout/bProcess3"/>
    <dgm:cxn modelId="{E25B4755-D4B5-477C-A1E9-95BD1790CF95}" type="presParOf" srcId="{670BD6D5-7C3E-4CA0-9F36-7A3735C28603}" destId="{C6C4C6BC-07FD-4207-A427-7104B71C5972}" srcOrd="10" destOrd="0" presId="urn:microsoft.com/office/officeart/2005/8/layout/bProcess3"/>
    <dgm:cxn modelId="{E56B88EC-F1F1-4105-A63A-B3E586AD6908}" type="presParOf" srcId="{670BD6D5-7C3E-4CA0-9F36-7A3735C28603}" destId="{7AE3D2AF-4DD2-4A44-A10F-678EB38391DD}" srcOrd="11" destOrd="0" presId="urn:microsoft.com/office/officeart/2005/8/layout/bProcess3"/>
    <dgm:cxn modelId="{E70CCCD3-D738-49CC-B2E8-5F77E0697E96}" type="presParOf" srcId="{7AE3D2AF-4DD2-4A44-A10F-678EB38391DD}" destId="{049C4DC6-EFA5-4577-BA91-A9E8F32C5436}" srcOrd="0" destOrd="0" presId="urn:microsoft.com/office/officeart/2005/8/layout/bProcess3"/>
    <dgm:cxn modelId="{9FBC2FCB-4CC5-49EC-BDF2-D0E7FD7D1096}" type="presParOf" srcId="{670BD6D5-7C3E-4CA0-9F36-7A3735C28603}" destId="{0963ADED-744C-4DC0-BA04-07599AD301ED}" srcOrd="12" destOrd="0" presId="urn:microsoft.com/office/officeart/2005/8/layout/bProcess3"/>
    <dgm:cxn modelId="{65BA47D5-BBEE-453F-A932-E760A4050734}" type="presParOf" srcId="{670BD6D5-7C3E-4CA0-9F36-7A3735C28603}" destId="{F54551D9-93E3-496C-A9B0-8034BAC50439}" srcOrd="13" destOrd="0" presId="urn:microsoft.com/office/officeart/2005/8/layout/bProcess3"/>
    <dgm:cxn modelId="{050B0B60-74A3-41A6-88EA-19B1921B625C}" type="presParOf" srcId="{F54551D9-93E3-496C-A9B0-8034BAC50439}" destId="{7B9F2492-A342-472D-BB10-EA662EC63A0C}" srcOrd="0" destOrd="0" presId="urn:microsoft.com/office/officeart/2005/8/layout/bProcess3"/>
    <dgm:cxn modelId="{442303B5-C5FB-4BBB-9531-AA11DFECA43C}" type="presParOf" srcId="{670BD6D5-7C3E-4CA0-9F36-7A3735C28603}" destId="{42196E1A-2978-48DD-B3C8-02E7E2D4DE1E}" srcOrd="14" destOrd="0" presId="urn:microsoft.com/office/officeart/2005/8/layout/bProcess3"/>
  </dgm:cxnLst>
  <dgm:bg/>
  <dgm:whole/>
  <dgm:extLst>
    <a:ext uri="http://schemas.microsoft.com/office/drawing/2008/diagram">
      <dsp:dataModelExt xmlns:dsp="http://schemas.microsoft.com/office/drawing/2008/diagram" relId="rId12" minVer="http://schemas.openxmlformats.org/drawingml/2006/diagram"/>
    </a:ext>
  </dgm:extLst>
</dgm:dataModel>
</file>

<file path=xl/diagrams/data13.xml><?xml version="1.0" encoding="utf-8"?>
<dgm:dataModel xmlns:dgm="http://schemas.openxmlformats.org/drawingml/2006/diagram" xmlns:a="http://schemas.openxmlformats.org/drawingml/2006/main">
  <dgm:ptLst>
    <dgm:pt modelId="{04C6B1E6-9E0A-4CEF-A498-7C126ED0BE42}" type="doc">
      <dgm:prSet loTypeId="urn:microsoft.com/office/officeart/2005/8/layout/bProcess3" loCatId="process" qsTypeId="urn:microsoft.com/office/officeart/2005/8/quickstyle/simple1" qsCatId="simple" csTypeId="urn:microsoft.com/office/officeart/2005/8/colors/accent1_2" csCatId="accent1" phldr="1"/>
      <dgm:spPr/>
      <dgm:t>
        <a:bodyPr/>
        <a:lstStyle/>
        <a:p>
          <a:endParaRPr lang="en-AU"/>
        </a:p>
      </dgm:t>
    </dgm:pt>
    <dgm:pt modelId="{963A69D2-B0BF-4F47-AADD-6793B3E116AD}">
      <dgm:prSet phldrT="[Text]"/>
      <dgm:spPr>
        <a:solidFill>
          <a:srgbClr val="F25022"/>
        </a:solidFill>
      </dgm:spPr>
      <dgm:t>
        <a:bodyPr/>
        <a:lstStyle/>
        <a:p>
          <a:pPr>
            <a:buFont typeface="+mj-lt"/>
            <a:buAutoNum type="arabicPeriod"/>
          </a:pPr>
          <a:r>
            <a:rPr lang="en-AU" b="0" i="0"/>
            <a:t>Step 2: UAT Tester visits the Trip Scheduler web page</a:t>
          </a:r>
          <a:br>
            <a:rPr lang="en-AU" b="0" i="0"/>
          </a:br>
          <a:r>
            <a:rPr lang="en-AU" b="0" i="0"/>
            <a:t>(&lt;URL&gt;)</a:t>
          </a:r>
          <a:endParaRPr lang="en-AU"/>
        </a:p>
      </dgm:t>
    </dgm:pt>
    <dgm:pt modelId="{AFFC7BAD-A2D6-41C0-A31B-DA8B1BA5D657}" type="parTrans" cxnId="{D87B128D-0F9B-411A-966A-0387A6512372}">
      <dgm:prSet/>
      <dgm:spPr/>
      <dgm:t>
        <a:bodyPr/>
        <a:lstStyle/>
        <a:p>
          <a:endParaRPr lang="en-AU"/>
        </a:p>
      </dgm:t>
    </dgm:pt>
    <dgm:pt modelId="{A31256D2-2C7A-42C9-AB0F-444718E2B4C6}" type="sibTrans" cxnId="{D87B128D-0F9B-411A-966A-0387A6512372}">
      <dgm:prSet/>
      <dgm:spPr/>
      <dgm:t>
        <a:bodyPr/>
        <a:lstStyle/>
        <a:p>
          <a:endParaRPr lang="en-AU"/>
        </a:p>
      </dgm:t>
    </dgm:pt>
    <dgm:pt modelId="{56EE8249-3A74-4EB9-9896-61AE60F2AEA5}">
      <dgm:prSet/>
      <dgm:spPr>
        <a:solidFill>
          <a:srgbClr val="7FBA00"/>
        </a:solidFill>
      </dgm:spPr>
      <dgm:t>
        <a:bodyPr/>
        <a:lstStyle/>
        <a:p>
          <a:pPr>
            <a:buFont typeface="+mj-lt"/>
            <a:buAutoNum type="arabicPeriod"/>
          </a:pPr>
          <a:r>
            <a:rPr lang="en-AU" b="0" i="0">
              <a:solidFill>
                <a:sysClr val="windowText" lastClr="000000"/>
              </a:solidFill>
            </a:rPr>
            <a:t>Step 3: UAT Tester browses through the trips</a:t>
          </a:r>
        </a:p>
      </dgm:t>
    </dgm:pt>
    <dgm:pt modelId="{50B8D300-9E5A-4FB2-85F9-54AC5B9E1ECF}" type="parTrans" cxnId="{EC839D42-B2D6-43FD-86CC-7016CEBD8B74}">
      <dgm:prSet/>
      <dgm:spPr/>
      <dgm:t>
        <a:bodyPr/>
        <a:lstStyle/>
        <a:p>
          <a:endParaRPr lang="en-AU"/>
        </a:p>
      </dgm:t>
    </dgm:pt>
    <dgm:pt modelId="{A703D3B6-9489-43E3-AA8F-6BFDC5D45355}" type="sibTrans" cxnId="{EC839D42-B2D6-43FD-86CC-7016CEBD8B74}">
      <dgm:prSet/>
      <dgm:spPr/>
      <dgm:t>
        <a:bodyPr/>
        <a:lstStyle/>
        <a:p>
          <a:endParaRPr lang="en-AU"/>
        </a:p>
      </dgm:t>
    </dgm:pt>
    <dgm:pt modelId="{9DF8E9D6-AA52-4E9E-9BE0-307B54567164}">
      <dgm:prSet/>
      <dgm:spPr>
        <a:solidFill>
          <a:srgbClr val="FFB900"/>
        </a:solidFill>
      </dgm:spPr>
      <dgm:t>
        <a:bodyPr/>
        <a:lstStyle/>
        <a:p>
          <a:pPr>
            <a:buFont typeface="+mj-lt"/>
            <a:buAutoNum type="arabicPeriod"/>
          </a:pPr>
          <a:r>
            <a:rPr lang="en-AU" b="0" i="0">
              <a:solidFill>
                <a:sysClr val="windowText" lastClr="000000"/>
              </a:solidFill>
            </a:rPr>
            <a:t>Step 4: UAT Tester selects a trip</a:t>
          </a:r>
        </a:p>
      </dgm:t>
    </dgm:pt>
    <dgm:pt modelId="{F6F37F67-0EC6-4A26-B167-D1B3C200F486}" type="parTrans" cxnId="{CF11254C-B1AB-40BB-BEAC-88A7F4A577DB}">
      <dgm:prSet/>
      <dgm:spPr/>
      <dgm:t>
        <a:bodyPr/>
        <a:lstStyle/>
        <a:p>
          <a:endParaRPr lang="en-AU"/>
        </a:p>
      </dgm:t>
    </dgm:pt>
    <dgm:pt modelId="{C9EFD111-0BBE-4E6E-BC8D-B49EF523B9CD}" type="sibTrans" cxnId="{CF11254C-B1AB-40BB-BEAC-88A7F4A577DB}">
      <dgm:prSet/>
      <dgm:spPr/>
      <dgm:t>
        <a:bodyPr/>
        <a:lstStyle/>
        <a:p>
          <a:endParaRPr lang="en-AU"/>
        </a:p>
      </dgm:t>
    </dgm:pt>
    <dgm:pt modelId="{79ECADAA-8538-412A-91ED-DB066271444C}">
      <dgm:prSet/>
      <dgm:spPr>
        <a:solidFill>
          <a:srgbClr val="00A4EF"/>
        </a:solidFill>
      </dgm:spPr>
      <dgm:t>
        <a:bodyPr/>
        <a:lstStyle/>
        <a:p>
          <a:pPr>
            <a:buFont typeface="+mj-lt"/>
            <a:buAutoNum type="arabicPeriod"/>
          </a:pPr>
          <a:r>
            <a:rPr lang="en-AU" b="0" i="0"/>
            <a:t>Step 5: UAT Tester adds the trip to their cart</a:t>
          </a:r>
        </a:p>
      </dgm:t>
    </dgm:pt>
    <dgm:pt modelId="{5192AF0D-5EE7-4951-9D3B-16807A8B2EDF}" type="parTrans" cxnId="{1A545EF6-A842-4811-A460-A8CBDAE6C8E7}">
      <dgm:prSet/>
      <dgm:spPr/>
      <dgm:t>
        <a:bodyPr/>
        <a:lstStyle/>
        <a:p>
          <a:endParaRPr lang="en-AU"/>
        </a:p>
      </dgm:t>
    </dgm:pt>
    <dgm:pt modelId="{A27F211E-E6E3-412E-8FF0-8CECD6EE368C}" type="sibTrans" cxnId="{1A545EF6-A842-4811-A460-A8CBDAE6C8E7}">
      <dgm:prSet/>
      <dgm:spPr/>
      <dgm:t>
        <a:bodyPr/>
        <a:lstStyle/>
        <a:p>
          <a:endParaRPr lang="en-AU"/>
        </a:p>
      </dgm:t>
    </dgm:pt>
    <dgm:pt modelId="{38B2DA95-9B6B-4430-95A2-596D6A4508D2}">
      <dgm:prSet/>
      <dgm:spPr>
        <a:solidFill>
          <a:srgbClr val="F25022"/>
        </a:solidFill>
      </dgm:spPr>
      <dgm:t>
        <a:bodyPr/>
        <a:lstStyle/>
        <a:p>
          <a:pPr>
            <a:buFont typeface="+mj-lt"/>
            <a:buAutoNum type="arabicPeriod"/>
          </a:pPr>
          <a:r>
            <a:rPr lang="en-AU" b="0" i="0"/>
            <a:t>Step 6: UAT Tester proceeds to checkout</a:t>
          </a:r>
        </a:p>
      </dgm:t>
    </dgm:pt>
    <dgm:pt modelId="{CB7FBA86-F65A-4DE5-A722-2E1FB2046120}" type="parTrans" cxnId="{E09E8DA6-7549-43D8-938C-1593A4A4F4E6}">
      <dgm:prSet/>
      <dgm:spPr/>
      <dgm:t>
        <a:bodyPr/>
        <a:lstStyle/>
        <a:p>
          <a:endParaRPr lang="en-AU"/>
        </a:p>
      </dgm:t>
    </dgm:pt>
    <dgm:pt modelId="{8B1D1EFE-B522-4641-A732-05500D97A463}" type="sibTrans" cxnId="{E09E8DA6-7549-43D8-938C-1593A4A4F4E6}">
      <dgm:prSet/>
      <dgm:spPr/>
      <dgm:t>
        <a:bodyPr/>
        <a:lstStyle/>
        <a:p>
          <a:endParaRPr lang="en-AU"/>
        </a:p>
      </dgm:t>
    </dgm:pt>
    <dgm:pt modelId="{544A72FB-864B-4C65-8A34-E0AAC487E27A}">
      <dgm:prSet/>
      <dgm:spPr>
        <a:solidFill>
          <a:srgbClr val="7FBA00"/>
        </a:solidFill>
      </dgm:spPr>
      <dgm:t>
        <a:bodyPr/>
        <a:lstStyle/>
        <a:p>
          <a:pPr>
            <a:buFont typeface="+mj-lt"/>
            <a:buAutoNum type="arabicPeriod"/>
          </a:pPr>
          <a:r>
            <a:rPr lang="en-AU" b="0" i="0">
              <a:solidFill>
                <a:sysClr val="windowText" lastClr="000000"/>
              </a:solidFill>
            </a:rPr>
            <a:t>Step 7:  UAT Tester fills in sample billing and shipping information and enters "UAT" into the name field</a:t>
          </a:r>
        </a:p>
      </dgm:t>
    </dgm:pt>
    <dgm:pt modelId="{158ECEDE-32C7-48D0-B59B-0BAC86D2000B}" type="parTrans" cxnId="{CA57DDF4-DA82-45F5-A6B6-7A862CA24981}">
      <dgm:prSet/>
      <dgm:spPr/>
      <dgm:t>
        <a:bodyPr/>
        <a:lstStyle/>
        <a:p>
          <a:endParaRPr lang="en-AU"/>
        </a:p>
      </dgm:t>
    </dgm:pt>
    <dgm:pt modelId="{187CF7BF-F278-4E21-9584-D5F197C0F798}" type="sibTrans" cxnId="{CA57DDF4-DA82-45F5-A6B6-7A862CA24981}">
      <dgm:prSet/>
      <dgm:spPr/>
      <dgm:t>
        <a:bodyPr/>
        <a:lstStyle/>
        <a:p>
          <a:endParaRPr lang="en-AU"/>
        </a:p>
      </dgm:t>
    </dgm:pt>
    <dgm:pt modelId="{2EFE8E7C-F608-46E2-8692-2E43C9638D00}">
      <dgm:prSet/>
      <dgm:spPr>
        <a:solidFill>
          <a:srgbClr val="FFB900"/>
        </a:solidFill>
      </dgm:spPr>
      <dgm:t>
        <a:bodyPr/>
        <a:lstStyle/>
        <a:p>
          <a:pPr>
            <a:buFont typeface="+mj-lt"/>
            <a:buAutoNum type="arabicPeriod"/>
          </a:pPr>
          <a:r>
            <a:rPr lang="en-AU" b="0" i="0">
              <a:solidFill>
                <a:sysClr val="windowText" lastClr="000000"/>
              </a:solidFill>
            </a:rPr>
            <a:t>Step 8: UAT Tester selects the 'UAT' payment method</a:t>
          </a:r>
        </a:p>
      </dgm:t>
    </dgm:pt>
    <dgm:pt modelId="{B815E79D-D7DE-47F4-9E1E-31EA3D37B3D6}" type="parTrans" cxnId="{B1502C67-C281-407F-90CF-A54B0D9E5C01}">
      <dgm:prSet/>
      <dgm:spPr/>
      <dgm:t>
        <a:bodyPr/>
        <a:lstStyle/>
        <a:p>
          <a:endParaRPr lang="en-AU"/>
        </a:p>
      </dgm:t>
    </dgm:pt>
    <dgm:pt modelId="{90B3F424-9BCB-4A0C-930D-0F1731B6AD19}" type="sibTrans" cxnId="{B1502C67-C281-407F-90CF-A54B0D9E5C01}">
      <dgm:prSet/>
      <dgm:spPr/>
      <dgm:t>
        <a:bodyPr/>
        <a:lstStyle/>
        <a:p>
          <a:endParaRPr lang="en-AU"/>
        </a:p>
      </dgm:t>
    </dgm:pt>
    <dgm:pt modelId="{541BBBEF-4E92-4FC0-9607-737543A19E6E}">
      <dgm:prSet/>
      <dgm:spPr>
        <a:solidFill>
          <a:srgbClr val="00A4EF"/>
        </a:solidFill>
      </dgm:spPr>
      <dgm:t>
        <a:bodyPr/>
        <a:lstStyle/>
        <a:p>
          <a:pPr>
            <a:buFont typeface="+mj-lt"/>
            <a:buAutoNum type="arabicPeriod"/>
          </a:pPr>
          <a:r>
            <a:rPr lang="en-AU" b="0" i="0"/>
            <a:t>Step 9: UAT Tester reviews their order</a:t>
          </a:r>
        </a:p>
      </dgm:t>
    </dgm:pt>
    <dgm:pt modelId="{EA782BF1-B213-4590-8E8C-18A40A2E5FD9}" type="parTrans" cxnId="{F955F71D-79F6-409A-9509-FD1135857288}">
      <dgm:prSet/>
      <dgm:spPr/>
      <dgm:t>
        <a:bodyPr/>
        <a:lstStyle/>
        <a:p>
          <a:endParaRPr lang="en-AU"/>
        </a:p>
      </dgm:t>
    </dgm:pt>
    <dgm:pt modelId="{00D67DE6-9B80-404F-B3A0-8B70CEB40436}" type="sibTrans" cxnId="{F955F71D-79F6-409A-9509-FD1135857288}">
      <dgm:prSet/>
      <dgm:spPr/>
      <dgm:t>
        <a:bodyPr/>
        <a:lstStyle/>
        <a:p>
          <a:endParaRPr lang="en-AU"/>
        </a:p>
      </dgm:t>
    </dgm:pt>
    <dgm:pt modelId="{EE9DD6FB-708C-4D0C-9B65-D970B0E64F38}">
      <dgm:prSet/>
      <dgm:spPr>
        <a:solidFill>
          <a:srgbClr val="F25022"/>
        </a:solidFill>
      </dgm:spPr>
      <dgm:t>
        <a:bodyPr/>
        <a:lstStyle/>
        <a:p>
          <a:pPr>
            <a:buFont typeface="+mj-lt"/>
            <a:buAutoNum type="arabicPeriod"/>
          </a:pPr>
          <a:r>
            <a:rPr lang="en-AU" b="0" i="0"/>
            <a:t>Step 10: UAT Tester confirms their order</a:t>
          </a:r>
        </a:p>
      </dgm:t>
    </dgm:pt>
    <dgm:pt modelId="{DDB4E9E0-DE8D-467E-8507-9E0693BAB5C9}" type="parTrans" cxnId="{59071935-7F3D-45CB-B942-26296358B042}">
      <dgm:prSet/>
      <dgm:spPr/>
      <dgm:t>
        <a:bodyPr/>
        <a:lstStyle/>
        <a:p>
          <a:endParaRPr lang="en-AU"/>
        </a:p>
      </dgm:t>
    </dgm:pt>
    <dgm:pt modelId="{80E8049F-266A-4FBA-AC94-218732EA10C4}" type="sibTrans" cxnId="{59071935-7F3D-45CB-B942-26296358B042}">
      <dgm:prSet/>
      <dgm:spPr/>
      <dgm:t>
        <a:bodyPr/>
        <a:lstStyle/>
        <a:p>
          <a:endParaRPr lang="en-AU"/>
        </a:p>
      </dgm:t>
    </dgm:pt>
    <dgm:pt modelId="{227FA5B0-3E00-41E7-B0B3-5020D183DEC9}">
      <dgm:prSet/>
      <dgm:spPr>
        <a:solidFill>
          <a:srgbClr val="7FBA00"/>
        </a:solidFill>
      </dgm:spPr>
      <dgm:t>
        <a:bodyPr/>
        <a:lstStyle/>
        <a:p>
          <a:pPr>
            <a:buFont typeface="+mj-lt"/>
            <a:buAutoNum type="arabicPeriod"/>
          </a:pPr>
          <a:r>
            <a:rPr lang="en-AU" b="0" i="0">
              <a:solidFill>
                <a:sysClr val="windowText" lastClr="000000"/>
              </a:solidFill>
            </a:rPr>
            <a:t>Step 11: UAT Tester receives an order confirmation</a:t>
          </a:r>
        </a:p>
      </dgm:t>
    </dgm:pt>
    <dgm:pt modelId="{DD016592-456E-42D5-BA07-1D6539DFE20D}" type="parTrans" cxnId="{AD9BA057-4593-4FB1-8AE1-2AEFC455E9D8}">
      <dgm:prSet/>
      <dgm:spPr/>
      <dgm:t>
        <a:bodyPr/>
        <a:lstStyle/>
        <a:p>
          <a:endParaRPr lang="en-AU"/>
        </a:p>
      </dgm:t>
    </dgm:pt>
    <dgm:pt modelId="{3A7ECC22-0D8A-4B1D-8305-B080B274C791}" type="sibTrans" cxnId="{AD9BA057-4593-4FB1-8AE1-2AEFC455E9D8}">
      <dgm:prSet/>
      <dgm:spPr/>
      <dgm:t>
        <a:bodyPr/>
        <a:lstStyle/>
        <a:p>
          <a:endParaRPr lang="en-AU"/>
        </a:p>
      </dgm:t>
    </dgm:pt>
    <dgm:pt modelId="{66990A4F-23A3-4B1B-8CD2-85BDB86F77F7}">
      <dgm:prSet/>
      <dgm:spPr>
        <a:solidFill>
          <a:srgbClr val="7FBA00"/>
        </a:solidFill>
      </dgm:spPr>
      <dgm:t>
        <a:bodyPr/>
        <a:lstStyle/>
        <a:p>
          <a:pPr>
            <a:buFont typeface="+mj-lt"/>
            <a:buAutoNum type="arabicPeriod"/>
          </a:pPr>
          <a:r>
            <a:rPr lang="en-AU" b="0" i="0">
              <a:solidFill>
                <a:sysClr val="windowText" lastClr="000000"/>
              </a:solidFill>
            </a:rPr>
            <a:t>Step 12: UAT Tester reviews monitoring data during the test and compares it with an established baseline.</a:t>
          </a:r>
        </a:p>
      </dgm:t>
    </dgm:pt>
    <dgm:pt modelId="{8D5691E2-3C5C-4F73-85EC-AB5067616E05}" type="parTrans" cxnId="{B1CEEFF9-00B2-43BA-804F-FD9C9DFE1750}">
      <dgm:prSet/>
      <dgm:spPr/>
      <dgm:t>
        <a:bodyPr/>
        <a:lstStyle/>
        <a:p>
          <a:endParaRPr lang="en-AU"/>
        </a:p>
      </dgm:t>
    </dgm:pt>
    <dgm:pt modelId="{6423B9B8-F2A8-428F-87E5-C847688E9A3B}" type="sibTrans" cxnId="{B1CEEFF9-00B2-43BA-804F-FD9C9DFE1750}">
      <dgm:prSet/>
      <dgm:spPr/>
      <dgm:t>
        <a:bodyPr/>
        <a:lstStyle/>
        <a:p>
          <a:endParaRPr lang="en-AU"/>
        </a:p>
      </dgm:t>
    </dgm:pt>
    <dgm:pt modelId="{15E8F786-62EA-4484-8667-08EAFBF792A8}">
      <dgm:prSet/>
      <dgm:spPr>
        <a:solidFill>
          <a:srgbClr val="7FBA00"/>
        </a:solidFill>
      </dgm:spPr>
      <dgm:t>
        <a:bodyPr/>
        <a:lstStyle/>
        <a:p>
          <a:pPr>
            <a:buFont typeface="+mj-lt"/>
            <a:buAutoNum type="arabicPeriod"/>
          </a:pPr>
          <a:r>
            <a:rPr lang="en-AU" b="0" i="0">
              <a:solidFill>
                <a:sysClr val="windowText" lastClr="000000"/>
              </a:solidFill>
            </a:rPr>
            <a:t>Step 13: UAT Tester updates the test status along with duration data for each step.</a:t>
          </a:r>
        </a:p>
      </dgm:t>
    </dgm:pt>
    <dgm:pt modelId="{2A35BB3D-2B56-460F-BC68-5F9229E8188B}" type="parTrans" cxnId="{07F0B9B7-D0CF-4D3F-A5B5-B5BD9043D4E3}">
      <dgm:prSet/>
      <dgm:spPr/>
      <dgm:t>
        <a:bodyPr/>
        <a:lstStyle/>
        <a:p>
          <a:endParaRPr lang="en-AU"/>
        </a:p>
      </dgm:t>
    </dgm:pt>
    <dgm:pt modelId="{68B6981C-BC5F-4535-A44C-75A8F4339FA7}" type="sibTrans" cxnId="{07F0B9B7-D0CF-4D3F-A5B5-B5BD9043D4E3}">
      <dgm:prSet/>
      <dgm:spPr/>
      <dgm:t>
        <a:bodyPr/>
        <a:lstStyle/>
        <a:p>
          <a:endParaRPr lang="en-AU"/>
        </a:p>
      </dgm:t>
    </dgm:pt>
    <dgm:pt modelId="{A8995B1C-8F36-4AEF-9C76-B0F798484A17}">
      <dgm:prSet/>
      <dgm:spPr>
        <a:solidFill>
          <a:srgbClr val="7FBA00"/>
        </a:solidFill>
      </dgm:spPr>
      <dgm:t>
        <a:bodyPr/>
        <a:lstStyle/>
        <a:p>
          <a:pPr>
            <a:buFont typeface="+mj-lt"/>
            <a:buAutoNum type="arabicPeriod"/>
          </a:pPr>
          <a:r>
            <a:rPr lang="en-AU" b="0" i="0">
              <a:solidFill>
                <a:sysClr val="windowText" lastClr="000000"/>
              </a:solidFill>
            </a:rPr>
            <a:t>Step 15: Business Owner review and sign off Test Results on -</a:t>
          </a:r>
        </a:p>
      </dgm:t>
    </dgm:pt>
    <dgm:pt modelId="{B790B9AA-3091-4340-B542-F5A04E8D39B0}" type="parTrans" cxnId="{13196F81-CB86-4AC7-BEFC-635BE65E118A}">
      <dgm:prSet/>
      <dgm:spPr/>
      <dgm:t>
        <a:bodyPr/>
        <a:lstStyle/>
        <a:p>
          <a:endParaRPr lang="en-AU"/>
        </a:p>
      </dgm:t>
    </dgm:pt>
    <dgm:pt modelId="{0040DBC7-9177-46EA-A822-A05428FAB3D5}" type="sibTrans" cxnId="{13196F81-CB86-4AC7-BEFC-635BE65E118A}">
      <dgm:prSet/>
      <dgm:spPr/>
      <dgm:t>
        <a:bodyPr/>
        <a:lstStyle/>
        <a:p>
          <a:endParaRPr lang="en-AU"/>
        </a:p>
      </dgm:t>
    </dgm:pt>
    <dgm:pt modelId="{9D4CEBE6-AE6E-4F0D-BE42-4C073026552F}">
      <dgm:prSet/>
      <dgm:spPr>
        <a:solidFill>
          <a:srgbClr val="7FBA00"/>
        </a:solidFill>
      </dgm:spPr>
      <dgm:t>
        <a:bodyPr/>
        <a:lstStyle/>
        <a:p>
          <a:pPr>
            <a:buFont typeface="+mj-lt"/>
            <a:buAutoNum type="arabicPeriod"/>
          </a:pPr>
          <a:r>
            <a:rPr lang="en-AU" b="0" i="0">
              <a:solidFill>
                <a:sysClr val="windowText" lastClr="000000"/>
              </a:solidFill>
            </a:rPr>
            <a:t>BCDR Dashboard</a:t>
          </a:r>
        </a:p>
      </dgm:t>
    </dgm:pt>
    <dgm:pt modelId="{ED27B3EE-8859-40D1-BCDC-8AF82BE861EB}" type="parTrans" cxnId="{299CDE43-3B5A-4341-A106-14E9695FCD91}">
      <dgm:prSet/>
      <dgm:spPr/>
      <dgm:t>
        <a:bodyPr/>
        <a:lstStyle/>
        <a:p>
          <a:endParaRPr lang="en-AU"/>
        </a:p>
      </dgm:t>
    </dgm:pt>
    <dgm:pt modelId="{75809E87-5C4B-492D-B12B-FA0B98F9399A}" type="sibTrans" cxnId="{299CDE43-3B5A-4341-A106-14E9695FCD91}">
      <dgm:prSet/>
      <dgm:spPr/>
      <dgm:t>
        <a:bodyPr/>
        <a:lstStyle/>
        <a:p>
          <a:endParaRPr lang="en-AU"/>
        </a:p>
      </dgm:t>
    </dgm:pt>
    <dgm:pt modelId="{DEE4E88E-FCF6-4993-9F89-5E1B22C46FBB}">
      <dgm:prSet/>
      <dgm:spPr>
        <a:solidFill>
          <a:srgbClr val="7FBA00"/>
        </a:solidFill>
      </dgm:spPr>
      <dgm:t>
        <a:bodyPr/>
        <a:lstStyle/>
        <a:p>
          <a:pPr>
            <a:buFont typeface="+mj-lt"/>
            <a:buAutoNum type="arabicPeriod"/>
          </a:pPr>
          <a:r>
            <a:rPr lang="en-AU" b="0" i="0">
              <a:solidFill>
                <a:sysClr val="windowText" lastClr="000000"/>
              </a:solidFill>
            </a:rPr>
            <a:t>Application Test Plan Summary</a:t>
          </a:r>
        </a:p>
      </dgm:t>
    </dgm:pt>
    <dgm:pt modelId="{E5CF647C-A62C-4C69-B039-AB160B1A918A}" type="parTrans" cxnId="{B47C7240-80CF-4160-9C86-6F54C52B1349}">
      <dgm:prSet/>
      <dgm:spPr/>
      <dgm:t>
        <a:bodyPr/>
        <a:lstStyle/>
        <a:p>
          <a:endParaRPr lang="en-AU"/>
        </a:p>
      </dgm:t>
    </dgm:pt>
    <dgm:pt modelId="{A7319FD5-F839-4AA2-BD22-23558D799D5F}" type="sibTrans" cxnId="{B47C7240-80CF-4160-9C86-6F54C52B1349}">
      <dgm:prSet/>
      <dgm:spPr/>
      <dgm:t>
        <a:bodyPr/>
        <a:lstStyle/>
        <a:p>
          <a:endParaRPr lang="en-AU"/>
        </a:p>
      </dgm:t>
    </dgm:pt>
    <dgm:pt modelId="{5A3B49EF-B84C-45D3-85DF-17A8EA0CC0EF}">
      <dgm:prSet/>
      <dgm:spPr>
        <a:solidFill>
          <a:srgbClr val="7FBA00"/>
        </a:solidFill>
      </dgm:spPr>
      <dgm:t>
        <a:bodyPr/>
        <a:lstStyle/>
        <a:p>
          <a:pPr>
            <a:buFont typeface="+mj-lt"/>
            <a:buAutoNum type="arabicPeriod"/>
          </a:pPr>
          <a:r>
            <a:rPr lang="en-AU" b="0" i="0">
              <a:solidFill>
                <a:sysClr val="windowText" lastClr="000000"/>
              </a:solidFill>
            </a:rPr>
            <a:t>Application Business Impact Assessment</a:t>
          </a:r>
        </a:p>
      </dgm:t>
    </dgm:pt>
    <dgm:pt modelId="{75B1996F-E967-47BB-9735-0BD49729F7C1}" type="parTrans" cxnId="{F52B9296-E093-4B7D-B738-93E0DB6B9252}">
      <dgm:prSet/>
      <dgm:spPr/>
      <dgm:t>
        <a:bodyPr/>
        <a:lstStyle/>
        <a:p>
          <a:endParaRPr lang="en-AU"/>
        </a:p>
      </dgm:t>
    </dgm:pt>
    <dgm:pt modelId="{5122F69C-FE28-4770-A0C2-7E2D37C47E00}" type="sibTrans" cxnId="{F52B9296-E093-4B7D-B738-93E0DB6B9252}">
      <dgm:prSet/>
      <dgm:spPr/>
      <dgm:t>
        <a:bodyPr/>
        <a:lstStyle/>
        <a:p>
          <a:endParaRPr lang="en-AU"/>
        </a:p>
      </dgm:t>
    </dgm:pt>
    <dgm:pt modelId="{1AAF40F8-5E03-47F0-A5D1-463D7DAB40FF}">
      <dgm:prSet phldrT="[Text]"/>
      <dgm:spPr>
        <a:solidFill>
          <a:srgbClr val="F25022"/>
        </a:solidFill>
      </dgm:spPr>
      <dgm:t>
        <a:bodyPr/>
        <a:lstStyle/>
        <a:p>
          <a:pPr>
            <a:buFont typeface="+mj-lt"/>
            <a:buAutoNum type="arabicPeriod"/>
          </a:pPr>
          <a:r>
            <a:rPr lang="en-AU"/>
            <a:t>Step 1: UAT Tester confirms application monitoring is active</a:t>
          </a:r>
        </a:p>
      </dgm:t>
    </dgm:pt>
    <dgm:pt modelId="{85ED2046-5D72-41FF-9783-97930842C9E9}" type="parTrans" cxnId="{013996BA-BFF8-4F7D-A4AF-29071A66ED0E}">
      <dgm:prSet/>
      <dgm:spPr/>
      <dgm:t>
        <a:bodyPr/>
        <a:lstStyle/>
        <a:p>
          <a:endParaRPr lang="en-AU"/>
        </a:p>
      </dgm:t>
    </dgm:pt>
    <dgm:pt modelId="{43FC4209-2B90-4DB2-AEF6-9B6963D138A7}" type="sibTrans" cxnId="{013996BA-BFF8-4F7D-A4AF-29071A66ED0E}">
      <dgm:prSet/>
      <dgm:spPr/>
      <dgm:t>
        <a:bodyPr/>
        <a:lstStyle/>
        <a:p>
          <a:endParaRPr lang="en-AU"/>
        </a:p>
      </dgm:t>
    </dgm:pt>
    <dgm:pt modelId="{FE92A86D-BE59-409C-B5CB-01CA2706D624}">
      <dgm:prSet/>
      <dgm:spPr>
        <a:solidFill>
          <a:srgbClr val="7FBA00"/>
        </a:solidFill>
      </dgm:spPr>
      <dgm:t>
        <a:bodyPr/>
        <a:lstStyle/>
        <a:p>
          <a:pPr>
            <a:buFont typeface="+mj-lt"/>
            <a:buAutoNum type="arabicPeriod"/>
          </a:pPr>
          <a:r>
            <a:rPr lang="en-AU" b="0" i="0">
              <a:solidFill>
                <a:sysClr val="windowText" lastClr="000000"/>
              </a:solidFill>
            </a:rPr>
            <a:t>Step 14: UAT Tester updates -</a:t>
          </a:r>
        </a:p>
      </dgm:t>
    </dgm:pt>
    <dgm:pt modelId="{9BE844CB-BD51-4DEB-99EB-6DA239CA0EC0}" type="parTrans" cxnId="{9D615C31-F36D-4A70-B00B-FACB1E287BC3}">
      <dgm:prSet/>
      <dgm:spPr/>
      <dgm:t>
        <a:bodyPr/>
        <a:lstStyle/>
        <a:p>
          <a:endParaRPr lang="en-AU"/>
        </a:p>
      </dgm:t>
    </dgm:pt>
    <dgm:pt modelId="{5B5893A3-6AF1-4A82-B8A9-69765AFDD2FD}" type="sibTrans" cxnId="{9D615C31-F36D-4A70-B00B-FACB1E287BC3}">
      <dgm:prSet/>
      <dgm:spPr/>
      <dgm:t>
        <a:bodyPr/>
        <a:lstStyle/>
        <a:p>
          <a:endParaRPr lang="en-AU"/>
        </a:p>
      </dgm:t>
    </dgm:pt>
    <dgm:pt modelId="{BBF5326C-EA6E-45CF-8308-6F693248DE51}">
      <dgm:prSet/>
      <dgm:spPr>
        <a:solidFill>
          <a:srgbClr val="7FBA00"/>
        </a:solidFill>
      </dgm:spPr>
      <dgm:t>
        <a:bodyPr/>
        <a:lstStyle/>
        <a:p>
          <a:pPr>
            <a:buFont typeface="+mj-lt"/>
            <a:buAutoNum type="arabicPeriod"/>
          </a:pPr>
          <a:r>
            <a:rPr lang="en-AU" b="0" i="0">
              <a:solidFill>
                <a:sysClr val="windowText" lastClr="000000"/>
              </a:solidFill>
            </a:rPr>
            <a:t>Application Business Impact Assessment</a:t>
          </a:r>
        </a:p>
      </dgm:t>
    </dgm:pt>
    <dgm:pt modelId="{43E8EEF6-2040-4ECC-BB01-51981DF20893}" type="parTrans" cxnId="{E4CFA233-B4A4-41B2-B0C8-E7968765CBA6}">
      <dgm:prSet/>
      <dgm:spPr/>
      <dgm:t>
        <a:bodyPr/>
        <a:lstStyle/>
        <a:p>
          <a:endParaRPr lang="en-AU"/>
        </a:p>
      </dgm:t>
    </dgm:pt>
    <dgm:pt modelId="{CB17E8EA-FB29-4628-A360-C0C406927518}" type="sibTrans" cxnId="{E4CFA233-B4A4-41B2-B0C8-E7968765CBA6}">
      <dgm:prSet/>
      <dgm:spPr/>
      <dgm:t>
        <a:bodyPr/>
        <a:lstStyle/>
        <a:p>
          <a:endParaRPr lang="en-AU"/>
        </a:p>
      </dgm:t>
    </dgm:pt>
    <dgm:pt modelId="{38C77FB4-9B02-41D4-BE16-962D75DEB4A8}">
      <dgm:prSet/>
      <dgm:spPr>
        <a:solidFill>
          <a:srgbClr val="7FBA00"/>
        </a:solidFill>
      </dgm:spPr>
      <dgm:t>
        <a:bodyPr/>
        <a:lstStyle/>
        <a:p>
          <a:pPr>
            <a:buFont typeface="+mj-lt"/>
            <a:buAutoNum type="arabicPeriod"/>
          </a:pPr>
          <a:r>
            <a:rPr lang="en-AU" b="0" i="0">
              <a:solidFill>
                <a:sysClr val="windowText" lastClr="000000"/>
              </a:solidFill>
            </a:rPr>
            <a:t>Application Test Plan Summary</a:t>
          </a:r>
        </a:p>
      </dgm:t>
    </dgm:pt>
    <dgm:pt modelId="{FA5A298C-0524-44BE-9CE1-C6322644296A}" type="parTrans" cxnId="{A3E38950-547E-404C-9B83-EE9A200523D2}">
      <dgm:prSet/>
      <dgm:spPr/>
      <dgm:t>
        <a:bodyPr/>
        <a:lstStyle/>
        <a:p>
          <a:endParaRPr lang="en-AU"/>
        </a:p>
      </dgm:t>
    </dgm:pt>
    <dgm:pt modelId="{50582F81-E64C-4CED-B544-04119EC72BDE}" type="sibTrans" cxnId="{A3E38950-547E-404C-9B83-EE9A200523D2}">
      <dgm:prSet/>
      <dgm:spPr/>
      <dgm:t>
        <a:bodyPr/>
        <a:lstStyle/>
        <a:p>
          <a:endParaRPr lang="en-AU"/>
        </a:p>
      </dgm:t>
    </dgm:pt>
    <dgm:pt modelId="{115108FB-E0B7-47C7-90D2-F007F5F8C0B7}">
      <dgm:prSet/>
      <dgm:spPr>
        <a:solidFill>
          <a:srgbClr val="7FBA00"/>
        </a:solidFill>
      </dgm:spPr>
      <dgm:t>
        <a:bodyPr/>
        <a:lstStyle/>
        <a:p>
          <a:pPr>
            <a:buFont typeface="+mj-lt"/>
            <a:buAutoNum type="arabicPeriod"/>
          </a:pPr>
          <a:r>
            <a:rPr lang="en-AU" b="0" i="0">
              <a:solidFill>
                <a:sysClr val="windowText" lastClr="000000"/>
              </a:solidFill>
            </a:rPr>
            <a:t>BCDR Dashboard</a:t>
          </a:r>
        </a:p>
      </dgm:t>
    </dgm:pt>
    <dgm:pt modelId="{969B1CAC-1C97-4792-A823-DABE7D5930D7}" type="parTrans" cxnId="{B3019CD6-0509-4140-9B4E-FBFBDD45BE0D}">
      <dgm:prSet/>
      <dgm:spPr/>
      <dgm:t>
        <a:bodyPr/>
        <a:lstStyle/>
        <a:p>
          <a:endParaRPr lang="en-AU"/>
        </a:p>
      </dgm:t>
    </dgm:pt>
    <dgm:pt modelId="{38C695F4-1BF6-457D-85AD-25ED44A11663}" type="sibTrans" cxnId="{B3019CD6-0509-4140-9B4E-FBFBDD45BE0D}">
      <dgm:prSet/>
      <dgm:spPr/>
      <dgm:t>
        <a:bodyPr/>
        <a:lstStyle/>
        <a:p>
          <a:endParaRPr lang="en-AU"/>
        </a:p>
      </dgm:t>
    </dgm:pt>
    <dgm:pt modelId="{670BD6D5-7C3E-4CA0-9F36-7A3735C28603}" type="pres">
      <dgm:prSet presAssocID="{04C6B1E6-9E0A-4CEF-A498-7C126ED0BE42}" presName="Name0" presStyleCnt="0">
        <dgm:presLayoutVars>
          <dgm:dir/>
          <dgm:resizeHandles val="exact"/>
        </dgm:presLayoutVars>
      </dgm:prSet>
      <dgm:spPr/>
    </dgm:pt>
    <dgm:pt modelId="{ACC8E42D-EEB9-4F87-BED3-C671F5D3D992}" type="pres">
      <dgm:prSet presAssocID="{1AAF40F8-5E03-47F0-A5D1-463D7DAB40FF}" presName="node" presStyleLbl="node1" presStyleIdx="0" presStyleCnt="15">
        <dgm:presLayoutVars>
          <dgm:bulletEnabled val="1"/>
        </dgm:presLayoutVars>
      </dgm:prSet>
      <dgm:spPr/>
    </dgm:pt>
    <dgm:pt modelId="{B391EA52-A615-459E-9CD7-8535D06BF784}" type="pres">
      <dgm:prSet presAssocID="{43FC4209-2B90-4DB2-AEF6-9B6963D138A7}" presName="sibTrans" presStyleLbl="sibTrans1D1" presStyleIdx="0" presStyleCnt="14"/>
      <dgm:spPr/>
    </dgm:pt>
    <dgm:pt modelId="{AEA9C0E7-6967-4C16-AB6B-219312874511}" type="pres">
      <dgm:prSet presAssocID="{43FC4209-2B90-4DB2-AEF6-9B6963D138A7}" presName="connectorText" presStyleLbl="sibTrans1D1" presStyleIdx="0" presStyleCnt="14"/>
      <dgm:spPr/>
    </dgm:pt>
    <dgm:pt modelId="{704043AB-80C6-477D-8E81-CB9170335BA3}" type="pres">
      <dgm:prSet presAssocID="{963A69D2-B0BF-4F47-AADD-6793B3E116AD}" presName="node" presStyleLbl="node1" presStyleIdx="1" presStyleCnt="15">
        <dgm:presLayoutVars>
          <dgm:bulletEnabled val="1"/>
        </dgm:presLayoutVars>
      </dgm:prSet>
      <dgm:spPr/>
    </dgm:pt>
    <dgm:pt modelId="{344182A4-37C0-4E7B-B805-3DEC958888BB}" type="pres">
      <dgm:prSet presAssocID="{A31256D2-2C7A-42C9-AB0F-444718E2B4C6}" presName="sibTrans" presStyleLbl="sibTrans1D1" presStyleIdx="1" presStyleCnt="14"/>
      <dgm:spPr/>
    </dgm:pt>
    <dgm:pt modelId="{7EDD551A-BD0B-457D-9666-EEE985A0DA21}" type="pres">
      <dgm:prSet presAssocID="{A31256D2-2C7A-42C9-AB0F-444718E2B4C6}" presName="connectorText" presStyleLbl="sibTrans1D1" presStyleIdx="1" presStyleCnt="14"/>
      <dgm:spPr/>
    </dgm:pt>
    <dgm:pt modelId="{A8D02A4F-A4AA-4A83-A8CE-9837F2F6BCA4}" type="pres">
      <dgm:prSet presAssocID="{56EE8249-3A74-4EB9-9896-61AE60F2AEA5}" presName="node" presStyleLbl="node1" presStyleIdx="2" presStyleCnt="15">
        <dgm:presLayoutVars>
          <dgm:bulletEnabled val="1"/>
        </dgm:presLayoutVars>
      </dgm:prSet>
      <dgm:spPr/>
    </dgm:pt>
    <dgm:pt modelId="{6290AEE2-69DA-4AC1-9265-FAB645416B19}" type="pres">
      <dgm:prSet presAssocID="{A703D3B6-9489-43E3-AA8F-6BFDC5D45355}" presName="sibTrans" presStyleLbl="sibTrans1D1" presStyleIdx="2" presStyleCnt="14"/>
      <dgm:spPr/>
    </dgm:pt>
    <dgm:pt modelId="{C48C8A6F-7D7F-4E49-B001-F4630B6B8E90}" type="pres">
      <dgm:prSet presAssocID="{A703D3B6-9489-43E3-AA8F-6BFDC5D45355}" presName="connectorText" presStyleLbl="sibTrans1D1" presStyleIdx="2" presStyleCnt="14"/>
      <dgm:spPr/>
    </dgm:pt>
    <dgm:pt modelId="{8FE70C34-5354-498D-A334-96CA65F1A1B6}" type="pres">
      <dgm:prSet presAssocID="{9DF8E9D6-AA52-4E9E-9BE0-307B54567164}" presName="node" presStyleLbl="node1" presStyleIdx="3" presStyleCnt="15">
        <dgm:presLayoutVars>
          <dgm:bulletEnabled val="1"/>
        </dgm:presLayoutVars>
      </dgm:prSet>
      <dgm:spPr/>
    </dgm:pt>
    <dgm:pt modelId="{EA412E62-05BF-4FC0-A001-70ECC47B22FB}" type="pres">
      <dgm:prSet presAssocID="{C9EFD111-0BBE-4E6E-BC8D-B49EF523B9CD}" presName="sibTrans" presStyleLbl="sibTrans1D1" presStyleIdx="3" presStyleCnt="14"/>
      <dgm:spPr/>
    </dgm:pt>
    <dgm:pt modelId="{22E2CA3C-3A97-4CA6-BD73-B12E3FA1CB37}" type="pres">
      <dgm:prSet presAssocID="{C9EFD111-0BBE-4E6E-BC8D-B49EF523B9CD}" presName="connectorText" presStyleLbl="sibTrans1D1" presStyleIdx="3" presStyleCnt="14"/>
      <dgm:spPr/>
    </dgm:pt>
    <dgm:pt modelId="{DD05FBC9-2CC2-4E02-8EA7-D7B60695FF0B}" type="pres">
      <dgm:prSet presAssocID="{79ECADAA-8538-412A-91ED-DB066271444C}" presName="node" presStyleLbl="node1" presStyleIdx="4" presStyleCnt="15">
        <dgm:presLayoutVars>
          <dgm:bulletEnabled val="1"/>
        </dgm:presLayoutVars>
      </dgm:prSet>
      <dgm:spPr/>
    </dgm:pt>
    <dgm:pt modelId="{60F1EB0B-1117-46A3-923C-782E5B074CCE}" type="pres">
      <dgm:prSet presAssocID="{A27F211E-E6E3-412E-8FF0-8CECD6EE368C}" presName="sibTrans" presStyleLbl="sibTrans1D1" presStyleIdx="4" presStyleCnt="14"/>
      <dgm:spPr/>
    </dgm:pt>
    <dgm:pt modelId="{FAFFFCB2-40A6-4396-9911-3D4D4322A8E7}" type="pres">
      <dgm:prSet presAssocID="{A27F211E-E6E3-412E-8FF0-8CECD6EE368C}" presName="connectorText" presStyleLbl="sibTrans1D1" presStyleIdx="4" presStyleCnt="14"/>
      <dgm:spPr/>
    </dgm:pt>
    <dgm:pt modelId="{758BBAB1-A8E3-4FB8-8E8A-6233548F9DC3}" type="pres">
      <dgm:prSet presAssocID="{38B2DA95-9B6B-4430-95A2-596D6A4508D2}" presName="node" presStyleLbl="node1" presStyleIdx="5" presStyleCnt="15">
        <dgm:presLayoutVars>
          <dgm:bulletEnabled val="1"/>
        </dgm:presLayoutVars>
      </dgm:prSet>
      <dgm:spPr/>
    </dgm:pt>
    <dgm:pt modelId="{AA191DFB-4CFC-470F-8F23-9319E28C08FE}" type="pres">
      <dgm:prSet presAssocID="{8B1D1EFE-B522-4641-A732-05500D97A463}" presName="sibTrans" presStyleLbl="sibTrans1D1" presStyleIdx="5" presStyleCnt="14"/>
      <dgm:spPr/>
    </dgm:pt>
    <dgm:pt modelId="{61827DF4-F795-422B-AAB7-2396378B1FE8}" type="pres">
      <dgm:prSet presAssocID="{8B1D1EFE-B522-4641-A732-05500D97A463}" presName="connectorText" presStyleLbl="sibTrans1D1" presStyleIdx="5" presStyleCnt="14"/>
      <dgm:spPr/>
    </dgm:pt>
    <dgm:pt modelId="{18693BE2-9DAF-4D18-B83F-BF5E9526A81C}" type="pres">
      <dgm:prSet presAssocID="{544A72FB-864B-4C65-8A34-E0AAC487E27A}" presName="node" presStyleLbl="node1" presStyleIdx="6" presStyleCnt="15">
        <dgm:presLayoutVars>
          <dgm:bulletEnabled val="1"/>
        </dgm:presLayoutVars>
      </dgm:prSet>
      <dgm:spPr/>
    </dgm:pt>
    <dgm:pt modelId="{3C5751A7-059D-4025-AB5B-E9DFD2E8E7B4}" type="pres">
      <dgm:prSet presAssocID="{187CF7BF-F278-4E21-9584-D5F197C0F798}" presName="sibTrans" presStyleLbl="sibTrans1D1" presStyleIdx="6" presStyleCnt="14"/>
      <dgm:spPr/>
    </dgm:pt>
    <dgm:pt modelId="{93A11A22-FA09-4717-87CF-0627E26D02F8}" type="pres">
      <dgm:prSet presAssocID="{187CF7BF-F278-4E21-9584-D5F197C0F798}" presName="connectorText" presStyleLbl="sibTrans1D1" presStyleIdx="6" presStyleCnt="14"/>
      <dgm:spPr/>
    </dgm:pt>
    <dgm:pt modelId="{19535580-3372-4D73-A164-792C15ACFC5D}" type="pres">
      <dgm:prSet presAssocID="{2EFE8E7C-F608-46E2-8692-2E43C9638D00}" presName="node" presStyleLbl="node1" presStyleIdx="7" presStyleCnt="15">
        <dgm:presLayoutVars>
          <dgm:bulletEnabled val="1"/>
        </dgm:presLayoutVars>
      </dgm:prSet>
      <dgm:spPr/>
    </dgm:pt>
    <dgm:pt modelId="{F312038E-887E-40D6-8CB3-9C40DA1131EE}" type="pres">
      <dgm:prSet presAssocID="{90B3F424-9BCB-4A0C-930D-0F1731B6AD19}" presName="sibTrans" presStyleLbl="sibTrans1D1" presStyleIdx="7" presStyleCnt="14"/>
      <dgm:spPr/>
    </dgm:pt>
    <dgm:pt modelId="{001D0827-611E-4A29-971F-2B6A528F42EB}" type="pres">
      <dgm:prSet presAssocID="{90B3F424-9BCB-4A0C-930D-0F1731B6AD19}" presName="connectorText" presStyleLbl="sibTrans1D1" presStyleIdx="7" presStyleCnt="14"/>
      <dgm:spPr/>
    </dgm:pt>
    <dgm:pt modelId="{1EB5E797-AE5B-46F0-949B-DA2B0FC96ACA}" type="pres">
      <dgm:prSet presAssocID="{541BBBEF-4E92-4FC0-9607-737543A19E6E}" presName="node" presStyleLbl="node1" presStyleIdx="8" presStyleCnt="15">
        <dgm:presLayoutVars>
          <dgm:bulletEnabled val="1"/>
        </dgm:presLayoutVars>
      </dgm:prSet>
      <dgm:spPr/>
    </dgm:pt>
    <dgm:pt modelId="{75676218-E7B7-41F7-8941-C4582E7BA379}" type="pres">
      <dgm:prSet presAssocID="{00D67DE6-9B80-404F-B3A0-8B70CEB40436}" presName="sibTrans" presStyleLbl="sibTrans1D1" presStyleIdx="8" presStyleCnt="14"/>
      <dgm:spPr/>
    </dgm:pt>
    <dgm:pt modelId="{CE0770C5-973D-4FBE-A11D-C155A40CF6EF}" type="pres">
      <dgm:prSet presAssocID="{00D67DE6-9B80-404F-B3A0-8B70CEB40436}" presName="connectorText" presStyleLbl="sibTrans1D1" presStyleIdx="8" presStyleCnt="14"/>
      <dgm:spPr/>
    </dgm:pt>
    <dgm:pt modelId="{A038DAA0-3CAA-4621-A924-01B4F13549DA}" type="pres">
      <dgm:prSet presAssocID="{EE9DD6FB-708C-4D0C-9B65-D970B0E64F38}" presName="node" presStyleLbl="node1" presStyleIdx="9" presStyleCnt="15">
        <dgm:presLayoutVars>
          <dgm:bulletEnabled val="1"/>
        </dgm:presLayoutVars>
      </dgm:prSet>
      <dgm:spPr/>
    </dgm:pt>
    <dgm:pt modelId="{96A14EF0-EF38-4F18-9903-E3AE05EF1E14}" type="pres">
      <dgm:prSet presAssocID="{80E8049F-266A-4FBA-AC94-218732EA10C4}" presName="sibTrans" presStyleLbl="sibTrans1D1" presStyleIdx="9" presStyleCnt="14"/>
      <dgm:spPr/>
    </dgm:pt>
    <dgm:pt modelId="{9DF5C307-5222-4122-AF9D-D0F89DB6F616}" type="pres">
      <dgm:prSet presAssocID="{80E8049F-266A-4FBA-AC94-218732EA10C4}" presName="connectorText" presStyleLbl="sibTrans1D1" presStyleIdx="9" presStyleCnt="14"/>
      <dgm:spPr/>
    </dgm:pt>
    <dgm:pt modelId="{AF44471B-2BE2-4DD8-94CC-12854D4E9ECD}" type="pres">
      <dgm:prSet presAssocID="{227FA5B0-3E00-41E7-B0B3-5020D183DEC9}" presName="node" presStyleLbl="node1" presStyleIdx="10" presStyleCnt="15">
        <dgm:presLayoutVars>
          <dgm:bulletEnabled val="1"/>
        </dgm:presLayoutVars>
      </dgm:prSet>
      <dgm:spPr/>
    </dgm:pt>
    <dgm:pt modelId="{314D4EF2-451D-425F-8813-9614182F91FB}" type="pres">
      <dgm:prSet presAssocID="{3A7ECC22-0D8A-4B1D-8305-B080B274C791}" presName="sibTrans" presStyleLbl="sibTrans1D1" presStyleIdx="10" presStyleCnt="14"/>
      <dgm:spPr/>
    </dgm:pt>
    <dgm:pt modelId="{16037FB2-EC2C-4655-9C76-1402C17D4BB8}" type="pres">
      <dgm:prSet presAssocID="{3A7ECC22-0D8A-4B1D-8305-B080B274C791}" presName="connectorText" presStyleLbl="sibTrans1D1" presStyleIdx="10" presStyleCnt="14"/>
      <dgm:spPr/>
    </dgm:pt>
    <dgm:pt modelId="{123BDDD6-0175-4CDB-BBFE-F0CDDD92C873}" type="pres">
      <dgm:prSet presAssocID="{66990A4F-23A3-4B1B-8CD2-85BDB86F77F7}" presName="node" presStyleLbl="node1" presStyleIdx="11" presStyleCnt="15">
        <dgm:presLayoutVars>
          <dgm:bulletEnabled val="1"/>
        </dgm:presLayoutVars>
      </dgm:prSet>
      <dgm:spPr/>
    </dgm:pt>
    <dgm:pt modelId="{53184455-3D23-41B2-A04E-36D8390F0DA8}" type="pres">
      <dgm:prSet presAssocID="{6423B9B8-F2A8-428F-87E5-C847688E9A3B}" presName="sibTrans" presStyleLbl="sibTrans1D1" presStyleIdx="11" presStyleCnt="14"/>
      <dgm:spPr/>
    </dgm:pt>
    <dgm:pt modelId="{AEB2376A-B19D-4CA5-8DB8-919B574FC814}" type="pres">
      <dgm:prSet presAssocID="{6423B9B8-F2A8-428F-87E5-C847688E9A3B}" presName="connectorText" presStyleLbl="sibTrans1D1" presStyleIdx="11" presStyleCnt="14"/>
      <dgm:spPr/>
    </dgm:pt>
    <dgm:pt modelId="{E18BD02F-05B7-4247-A8C2-17189C9EC8A9}" type="pres">
      <dgm:prSet presAssocID="{15E8F786-62EA-4484-8667-08EAFBF792A8}" presName="node" presStyleLbl="node1" presStyleIdx="12" presStyleCnt="15">
        <dgm:presLayoutVars>
          <dgm:bulletEnabled val="1"/>
        </dgm:presLayoutVars>
      </dgm:prSet>
      <dgm:spPr/>
    </dgm:pt>
    <dgm:pt modelId="{C6FBEB2E-DC6C-4002-B26A-7D36647A1700}" type="pres">
      <dgm:prSet presAssocID="{68B6981C-BC5F-4535-A44C-75A8F4339FA7}" presName="sibTrans" presStyleLbl="sibTrans1D1" presStyleIdx="12" presStyleCnt="14"/>
      <dgm:spPr/>
    </dgm:pt>
    <dgm:pt modelId="{841DABFB-C1FA-46D2-AF06-E0B5F0529B30}" type="pres">
      <dgm:prSet presAssocID="{68B6981C-BC5F-4535-A44C-75A8F4339FA7}" presName="connectorText" presStyleLbl="sibTrans1D1" presStyleIdx="12" presStyleCnt="14"/>
      <dgm:spPr/>
    </dgm:pt>
    <dgm:pt modelId="{1FBED0E7-AA03-4A37-920A-01489AC3D097}" type="pres">
      <dgm:prSet presAssocID="{FE92A86D-BE59-409C-B5CB-01CA2706D624}" presName="node" presStyleLbl="node1" presStyleIdx="13" presStyleCnt="15">
        <dgm:presLayoutVars>
          <dgm:bulletEnabled val="1"/>
        </dgm:presLayoutVars>
      </dgm:prSet>
      <dgm:spPr/>
    </dgm:pt>
    <dgm:pt modelId="{F9D87653-1E60-4DDF-A644-EA5D946FBF5D}" type="pres">
      <dgm:prSet presAssocID="{5B5893A3-6AF1-4A82-B8A9-69765AFDD2FD}" presName="sibTrans" presStyleLbl="sibTrans1D1" presStyleIdx="13" presStyleCnt="14"/>
      <dgm:spPr/>
    </dgm:pt>
    <dgm:pt modelId="{BD064CD3-3157-4CB0-A49B-D8CF11236E17}" type="pres">
      <dgm:prSet presAssocID="{5B5893A3-6AF1-4A82-B8A9-69765AFDD2FD}" presName="connectorText" presStyleLbl="sibTrans1D1" presStyleIdx="13" presStyleCnt="14"/>
      <dgm:spPr/>
    </dgm:pt>
    <dgm:pt modelId="{669F59D7-9D12-4B22-8D2E-2633EE923B81}" type="pres">
      <dgm:prSet presAssocID="{A8995B1C-8F36-4AEF-9C76-B0F798484A17}" presName="node" presStyleLbl="node1" presStyleIdx="14" presStyleCnt="15">
        <dgm:presLayoutVars>
          <dgm:bulletEnabled val="1"/>
        </dgm:presLayoutVars>
      </dgm:prSet>
      <dgm:spPr/>
    </dgm:pt>
  </dgm:ptLst>
  <dgm:cxnLst>
    <dgm:cxn modelId="{78660002-CF5F-44CA-9469-35EC54102763}" type="presOf" srcId="{BBF5326C-EA6E-45CF-8308-6F693248DE51}" destId="{1FBED0E7-AA03-4A37-920A-01489AC3D097}" srcOrd="0" destOrd="1" presId="urn:microsoft.com/office/officeart/2005/8/layout/bProcess3"/>
    <dgm:cxn modelId="{9C845105-3D6D-4BCD-901E-439996FD3F08}" type="presOf" srcId="{5B5893A3-6AF1-4A82-B8A9-69765AFDD2FD}" destId="{BD064CD3-3157-4CB0-A49B-D8CF11236E17}" srcOrd="1" destOrd="0" presId="urn:microsoft.com/office/officeart/2005/8/layout/bProcess3"/>
    <dgm:cxn modelId="{001A1B11-0D15-40C5-9423-97A398F150B2}" type="presOf" srcId="{A27F211E-E6E3-412E-8FF0-8CECD6EE368C}" destId="{60F1EB0B-1117-46A3-923C-782E5B074CCE}" srcOrd="0" destOrd="0" presId="urn:microsoft.com/office/officeart/2005/8/layout/bProcess3"/>
    <dgm:cxn modelId="{B28CA115-4D5D-469F-9F00-94FC53F6781F}" type="presOf" srcId="{5B5893A3-6AF1-4A82-B8A9-69765AFDD2FD}" destId="{F9D87653-1E60-4DDF-A644-EA5D946FBF5D}" srcOrd="0" destOrd="0" presId="urn:microsoft.com/office/officeart/2005/8/layout/bProcess3"/>
    <dgm:cxn modelId="{96B02B16-AEAE-448F-A3A8-64FAE4006A0F}" type="presOf" srcId="{1AAF40F8-5E03-47F0-A5D1-463D7DAB40FF}" destId="{ACC8E42D-EEB9-4F87-BED3-C671F5D3D992}" srcOrd="0" destOrd="0" presId="urn:microsoft.com/office/officeart/2005/8/layout/bProcess3"/>
    <dgm:cxn modelId="{18D26D18-AB81-4A25-93E3-A590E0725A9A}" type="presOf" srcId="{227FA5B0-3E00-41E7-B0B3-5020D183DEC9}" destId="{AF44471B-2BE2-4DD8-94CC-12854D4E9ECD}" srcOrd="0" destOrd="0" presId="urn:microsoft.com/office/officeart/2005/8/layout/bProcess3"/>
    <dgm:cxn modelId="{D953F518-13DE-45D5-BEAF-FD49E4547957}" type="presOf" srcId="{2EFE8E7C-F608-46E2-8692-2E43C9638D00}" destId="{19535580-3372-4D73-A164-792C15ACFC5D}" srcOrd="0" destOrd="0" presId="urn:microsoft.com/office/officeart/2005/8/layout/bProcess3"/>
    <dgm:cxn modelId="{F955F71D-79F6-409A-9509-FD1135857288}" srcId="{04C6B1E6-9E0A-4CEF-A498-7C126ED0BE42}" destId="{541BBBEF-4E92-4FC0-9607-737543A19E6E}" srcOrd="8" destOrd="0" parTransId="{EA782BF1-B213-4590-8E8C-18A40A2E5FD9}" sibTransId="{00D67DE6-9B80-404F-B3A0-8B70CEB40436}"/>
    <dgm:cxn modelId="{3B6F441F-EC45-47C6-82FD-164755896563}" type="presOf" srcId="{A27F211E-E6E3-412E-8FF0-8CECD6EE368C}" destId="{FAFFFCB2-40A6-4396-9911-3D4D4322A8E7}" srcOrd="1" destOrd="0" presId="urn:microsoft.com/office/officeart/2005/8/layout/bProcess3"/>
    <dgm:cxn modelId="{E5814A2F-AA9A-40DC-8583-22ED7E1B0EC4}" type="presOf" srcId="{38C77FB4-9B02-41D4-BE16-962D75DEB4A8}" destId="{1FBED0E7-AA03-4A37-920A-01489AC3D097}" srcOrd="0" destOrd="2" presId="urn:microsoft.com/office/officeart/2005/8/layout/bProcess3"/>
    <dgm:cxn modelId="{9D615C31-F36D-4A70-B00B-FACB1E287BC3}" srcId="{04C6B1E6-9E0A-4CEF-A498-7C126ED0BE42}" destId="{FE92A86D-BE59-409C-B5CB-01CA2706D624}" srcOrd="13" destOrd="0" parTransId="{9BE844CB-BD51-4DEB-99EB-6DA239CA0EC0}" sibTransId="{5B5893A3-6AF1-4A82-B8A9-69765AFDD2FD}"/>
    <dgm:cxn modelId="{E4CFA233-B4A4-41B2-B0C8-E7968765CBA6}" srcId="{FE92A86D-BE59-409C-B5CB-01CA2706D624}" destId="{BBF5326C-EA6E-45CF-8308-6F693248DE51}" srcOrd="0" destOrd="0" parTransId="{43E8EEF6-2040-4ECC-BB01-51981DF20893}" sibTransId="{CB17E8EA-FB29-4628-A360-C0C406927518}"/>
    <dgm:cxn modelId="{59071935-7F3D-45CB-B942-26296358B042}" srcId="{04C6B1E6-9E0A-4CEF-A498-7C126ED0BE42}" destId="{EE9DD6FB-708C-4D0C-9B65-D970B0E64F38}" srcOrd="9" destOrd="0" parTransId="{DDB4E9E0-DE8D-467E-8507-9E0693BAB5C9}" sibTransId="{80E8049F-266A-4FBA-AC94-218732EA10C4}"/>
    <dgm:cxn modelId="{FE615138-6F23-429E-A456-639A9D8B883F}" type="presOf" srcId="{DEE4E88E-FCF6-4993-9F89-5E1B22C46FBB}" destId="{669F59D7-9D12-4B22-8D2E-2633EE923B81}" srcOrd="0" destOrd="2" presId="urn:microsoft.com/office/officeart/2005/8/layout/bProcess3"/>
    <dgm:cxn modelId="{B001613B-30C2-4791-B1C2-CFAB679C0F37}" type="presOf" srcId="{90B3F424-9BCB-4A0C-930D-0F1731B6AD19}" destId="{F312038E-887E-40D6-8CB3-9C40DA1131EE}" srcOrd="0" destOrd="0" presId="urn:microsoft.com/office/officeart/2005/8/layout/bProcess3"/>
    <dgm:cxn modelId="{04FBC63B-9C97-45E8-977C-ECD066C63A24}" type="presOf" srcId="{A703D3B6-9489-43E3-AA8F-6BFDC5D45355}" destId="{C48C8A6F-7D7F-4E49-B001-F4630B6B8E90}" srcOrd="1" destOrd="0" presId="urn:microsoft.com/office/officeart/2005/8/layout/bProcess3"/>
    <dgm:cxn modelId="{2DB8093D-FBC3-4126-BD42-3666F5205543}" type="presOf" srcId="{A8995B1C-8F36-4AEF-9C76-B0F798484A17}" destId="{669F59D7-9D12-4B22-8D2E-2633EE923B81}" srcOrd="0" destOrd="0" presId="urn:microsoft.com/office/officeart/2005/8/layout/bProcess3"/>
    <dgm:cxn modelId="{B47C7240-80CF-4160-9C86-6F54C52B1349}" srcId="{A8995B1C-8F36-4AEF-9C76-B0F798484A17}" destId="{DEE4E88E-FCF6-4993-9F89-5E1B22C46FBB}" srcOrd="1" destOrd="0" parTransId="{E5CF647C-A62C-4C69-B039-AB160B1A918A}" sibTransId="{A7319FD5-F839-4AA2-BD22-23558D799D5F}"/>
    <dgm:cxn modelId="{4F150841-4E2D-4712-A2C8-70B3EAD60BEE}" type="presOf" srcId="{80E8049F-266A-4FBA-AC94-218732EA10C4}" destId="{9DF5C307-5222-4122-AF9D-D0F89DB6F616}" srcOrd="1" destOrd="0" presId="urn:microsoft.com/office/officeart/2005/8/layout/bProcess3"/>
    <dgm:cxn modelId="{B639DD61-1D76-4670-9D73-0276DC1DB207}" type="presOf" srcId="{9DF8E9D6-AA52-4E9E-9BE0-307B54567164}" destId="{8FE70C34-5354-498D-A334-96CA65F1A1B6}" srcOrd="0" destOrd="0" presId="urn:microsoft.com/office/officeart/2005/8/layout/bProcess3"/>
    <dgm:cxn modelId="{90C53B62-14FF-43F5-850E-CAD5132F191B}" type="presOf" srcId="{A31256D2-2C7A-42C9-AB0F-444718E2B4C6}" destId="{344182A4-37C0-4E7B-B805-3DEC958888BB}" srcOrd="0" destOrd="0" presId="urn:microsoft.com/office/officeart/2005/8/layout/bProcess3"/>
    <dgm:cxn modelId="{EC839D42-B2D6-43FD-86CC-7016CEBD8B74}" srcId="{04C6B1E6-9E0A-4CEF-A498-7C126ED0BE42}" destId="{56EE8249-3A74-4EB9-9896-61AE60F2AEA5}" srcOrd="2" destOrd="0" parTransId="{50B8D300-9E5A-4FB2-85F9-54AC5B9E1ECF}" sibTransId="{A703D3B6-9489-43E3-AA8F-6BFDC5D45355}"/>
    <dgm:cxn modelId="{299CDE43-3B5A-4341-A106-14E9695FCD91}" srcId="{A8995B1C-8F36-4AEF-9C76-B0F798484A17}" destId="{9D4CEBE6-AE6E-4F0D-BE42-4C073026552F}" srcOrd="2" destOrd="0" parTransId="{ED27B3EE-8859-40D1-BCDC-8AF82BE861EB}" sibTransId="{75809E87-5C4B-492D-B12B-FA0B98F9399A}"/>
    <dgm:cxn modelId="{23CBB145-836E-49CC-8DEE-821A44C997E2}" type="presOf" srcId="{A703D3B6-9489-43E3-AA8F-6BFDC5D45355}" destId="{6290AEE2-69DA-4AC1-9265-FAB645416B19}" srcOrd="0" destOrd="0" presId="urn:microsoft.com/office/officeart/2005/8/layout/bProcess3"/>
    <dgm:cxn modelId="{06E51366-61FF-415E-B3A3-258C82F483F5}" type="presOf" srcId="{8B1D1EFE-B522-4641-A732-05500D97A463}" destId="{61827DF4-F795-422B-AAB7-2396378B1FE8}" srcOrd="1" destOrd="0" presId="urn:microsoft.com/office/officeart/2005/8/layout/bProcess3"/>
    <dgm:cxn modelId="{B1502C67-C281-407F-90CF-A54B0D9E5C01}" srcId="{04C6B1E6-9E0A-4CEF-A498-7C126ED0BE42}" destId="{2EFE8E7C-F608-46E2-8692-2E43C9638D00}" srcOrd="7" destOrd="0" parTransId="{B815E79D-D7DE-47F4-9E1E-31EA3D37B3D6}" sibTransId="{90B3F424-9BCB-4A0C-930D-0F1731B6AD19}"/>
    <dgm:cxn modelId="{25D5B247-A69C-4C96-8AA1-91B96376C973}" type="presOf" srcId="{68B6981C-BC5F-4535-A44C-75A8F4339FA7}" destId="{C6FBEB2E-DC6C-4002-B26A-7D36647A1700}" srcOrd="0" destOrd="0" presId="urn:microsoft.com/office/officeart/2005/8/layout/bProcess3"/>
    <dgm:cxn modelId="{2AEDC247-1A2F-4A46-913F-86E652D316CF}" type="presOf" srcId="{56EE8249-3A74-4EB9-9896-61AE60F2AEA5}" destId="{A8D02A4F-A4AA-4A83-A8CE-9837F2F6BCA4}" srcOrd="0" destOrd="0" presId="urn:microsoft.com/office/officeart/2005/8/layout/bProcess3"/>
    <dgm:cxn modelId="{2816CE48-34B0-4453-9DCE-05C254C03525}" type="presOf" srcId="{6423B9B8-F2A8-428F-87E5-C847688E9A3B}" destId="{AEB2376A-B19D-4CA5-8DB8-919B574FC814}" srcOrd="1" destOrd="0" presId="urn:microsoft.com/office/officeart/2005/8/layout/bProcess3"/>
    <dgm:cxn modelId="{EB27276B-341B-497F-9137-8E31F1A24EE8}" type="presOf" srcId="{544A72FB-864B-4C65-8A34-E0AAC487E27A}" destId="{18693BE2-9DAF-4D18-B83F-BF5E9526A81C}" srcOrd="0" destOrd="0" presId="urn:microsoft.com/office/officeart/2005/8/layout/bProcess3"/>
    <dgm:cxn modelId="{CF11254C-B1AB-40BB-BEAC-88A7F4A577DB}" srcId="{04C6B1E6-9E0A-4CEF-A498-7C126ED0BE42}" destId="{9DF8E9D6-AA52-4E9E-9BE0-307B54567164}" srcOrd="3" destOrd="0" parTransId="{F6F37F67-0EC6-4A26-B167-D1B3C200F486}" sibTransId="{C9EFD111-0BBE-4E6E-BC8D-B49EF523B9CD}"/>
    <dgm:cxn modelId="{A3E38950-547E-404C-9B83-EE9A200523D2}" srcId="{FE92A86D-BE59-409C-B5CB-01CA2706D624}" destId="{38C77FB4-9B02-41D4-BE16-962D75DEB4A8}" srcOrd="1" destOrd="0" parTransId="{FA5A298C-0524-44BE-9CE1-C6322644296A}" sibTransId="{50582F81-E64C-4CED-B544-04119EC72BDE}"/>
    <dgm:cxn modelId="{1F72D151-7F6A-4A30-AF37-6352B8F6804A}" type="presOf" srcId="{15E8F786-62EA-4484-8667-08EAFBF792A8}" destId="{E18BD02F-05B7-4247-A8C2-17189C9EC8A9}" srcOrd="0" destOrd="0" presId="urn:microsoft.com/office/officeart/2005/8/layout/bProcess3"/>
    <dgm:cxn modelId="{4388E051-2383-44F4-8208-753560F341D9}" type="presOf" srcId="{43FC4209-2B90-4DB2-AEF6-9B6963D138A7}" destId="{AEA9C0E7-6967-4C16-AB6B-219312874511}" srcOrd="1" destOrd="0" presId="urn:microsoft.com/office/officeart/2005/8/layout/bProcess3"/>
    <dgm:cxn modelId="{95246154-F990-4B44-96E7-2F555482E57A}" type="presOf" srcId="{EE9DD6FB-708C-4D0C-9B65-D970B0E64F38}" destId="{A038DAA0-3CAA-4621-A924-01B4F13549DA}" srcOrd="0" destOrd="0" presId="urn:microsoft.com/office/officeart/2005/8/layout/bProcess3"/>
    <dgm:cxn modelId="{EB0CDA75-43D6-4491-A842-FB0A2EDEF263}" type="presOf" srcId="{C9EFD111-0BBE-4E6E-BC8D-B49EF523B9CD}" destId="{22E2CA3C-3A97-4CA6-BD73-B12E3FA1CB37}" srcOrd="1" destOrd="0" presId="urn:microsoft.com/office/officeart/2005/8/layout/bProcess3"/>
    <dgm:cxn modelId="{AD9BA057-4593-4FB1-8AE1-2AEFC455E9D8}" srcId="{04C6B1E6-9E0A-4CEF-A498-7C126ED0BE42}" destId="{227FA5B0-3E00-41E7-B0B3-5020D183DEC9}" srcOrd="10" destOrd="0" parTransId="{DD016592-456E-42D5-BA07-1D6539DFE20D}" sibTransId="{3A7ECC22-0D8A-4B1D-8305-B080B274C791}"/>
    <dgm:cxn modelId="{F75C1E5A-BAC9-4E71-A38E-A118A480E106}" type="presOf" srcId="{90B3F424-9BCB-4A0C-930D-0F1731B6AD19}" destId="{001D0827-611E-4A29-971F-2B6A528F42EB}" srcOrd="1" destOrd="0" presId="urn:microsoft.com/office/officeart/2005/8/layout/bProcess3"/>
    <dgm:cxn modelId="{5D0A217C-5AA7-4A94-B368-CD80C0BBA915}" type="presOf" srcId="{A31256D2-2C7A-42C9-AB0F-444718E2B4C6}" destId="{7EDD551A-BD0B-457D-9666-EEE985A0DA21}" srcOrd="1" destOrd="0" presId="urn:microsoft.com/office/officeart/2005/8/layout/bProcess3"/>
    <dgm:cxn modelId="{8E1D347C-60AC-4A86-8EF5-929F37D6BCB0}" type="presOf" srcId="{C9EFD111-0BBE-4E6E-BC8D-B49EF523B9CD}" destId="{EA412E62-05BF-4FC0-A001-70ECC47B22FB}" srcOrd="0" destOrd="0" presId="urn:microsoft.com/office/officeart/2005/8/layout/bProcess3"/>
    <dgm:cxn modelId="{13196F81-CB86-4AC7-BEFC-635BE65E118A}" srcId="{04C6B1E6-9E0A-4CEF-A498-7C126ED0BE42}" destId="{A8995B1C-8F36-4AEF-9C76-B0F798484A17}" srcOrd="14" destOrd="0" parTransId="{B790B9AA-3091-4340-B542-F5A04E8D39B0}" sibTransId="{0040DBC7-9177-46EA-A822-A05428FAB3D5}"/>
    <dgm:cxn modelId="{C6419E85-4E61-4D29-A1C0-3417AB5502BC}" type="presOf" srcId="{187CF7BF-F278-4E21-9584-D5F197C0F798}" destId="{3C5751A7-059D-4025-AB5B-E9DFD2E8E7B4}" srcOrd="0" destOrd="0" presId="urn:microsoft.com/office/officeart/2005/8/layout/bProcess3"/>
    <dgm:cxn modelId="{31A7818B-A4BD-4C28-ABA5-1025FB13B89E}" type="presOf" srcId="{66990A4F-23A3-4B1B-8CD2-85BDB86F77F7}" destId="{123BDDD6-0175-4CDB-BBFE-F0CDDD92C873}" srcOrd="0" destOrd="0" presId="urn:microsoft.com/office/officeart/2005/8/layout/bProcess3"/>
    <dgm:cxn modelId="{D87B128D-0F9B-411A-966A-0387A6512372}" srcId="{04C6B1E6-9E0A-4CEF-A498-7C126ED0BE42}" destId="{963A69D2-B0BF-4F47-AADD-6793B3E116AD}" srcOrd="1" destOrd="0" parTransId="{AFFC7BAD-A2D6-41C0-A31B-DA8B1BA5D657}" sibTransId="{A31256D2-2C7A-42C9-AB0F-444718E2B4C6}"/>
    <dgm:cxn modelId="{619F8F94-F1C0-4896-86EE-B8DEDDF4DC89}" type="presOf" srcId="{3A7ECC22-0D8A-4B1D-8305-B080B274C791}" destId="{314D4EF2-451D-425F-8813-9614182F91FB}" srcOrd="0" destOrd="0" presId="urn:microsoft.com/office/officeart/2005/8/layout/bProcess3"/>
    <dgm:cxn modelId="{F52B9296-E093-4B7D-B738-93E0DB6B9252}" srcId="{A8995B1C-8F36-4AEF-9C76-B0F798484A17}" destId="{5A3B49EF-B84C-45D3-85DF-17A8EA0CC0EF}" srcOrd="0" destOrd="0" parTransId="{75B1996F-E967-47BB-9735-0BD49729F7C1}" sibTransId="{5122F69C-FE28-4770-A0C2-7E2D37C47E00}"/>
    <dgm:cxn modelId="{87DEC7A0-6872-41CE-ACA4-2EEA3868C4BE}" type="presOf" srcId="{43FC4209-2B90-4DB2-AEF6-9B6963D138A7}" destId="{B391EA52-A615-459E-9CD7-8535D06BF784}" srcOrd="0" destOrd="0" presId="urn:microsoft.com/office/officeart/2005/8/layout/bProcess3"/>
    <dgm:cxn modelId="{13F6A0A5-52B6-438B-B633-00268BEDB0EF}" type="presOf" srcId="{00D67DE6-9B80-404F-B3A0-8B70CEB40436}" destId="{75676218-E7B7-41F7-8941-C4582E7BA379}" srcOrd="0" destOrd="0" presId="urn:microsoft.com/office/officeart/2005/8/layout/bProcess3"/>
    <dgm:cxn modelId="{E09E8DA6-7549-43D8-938C-1593A4A4F4E6}" srcId="{04C6B1E6-9E0A-4CEF-A498-7C126ED0BE42}" destId="{38B2DA95-9B6B-4430-95A2-596D6A4508D2}" srcOrd="5" destOrd="0" parTransId="{CB7FBA86-F65A-4DE5-A722-2E1FB2046120}" sibTransId="{8B1D1EFE-B522-4641-A732-05500D97A463}"/>
    <dgm:cxn modelId="{FAE6D2A6-C790-4FA8-AE42-59B20B78F8AA}" type="presOf" srcId="{FE92A86D-BE59-409C-B5CB-01CA2706D624}" destId="{1FBED0E7-AA03-4A37-920A-01489AC3D097}" srcOrd="0" destOrd="0" presId="urn:microsoft.com/office/officeart/2005/8/layout/bProcess3"/>
    <dgm:cxn modelId="{81F90BA7-B114-4153-82B7-E282B0770920}" type="presOf" srcId="{80E8049F-266A-4FBA-AC94-218732EA10C4}" destId="{96A14EF0-EF38-4F18-9903-E3AE05EF1E14}" srcOrd="0" destOrd="0" presId="urn:microsoft.com/office/officeart/2005/8/layout/bProcess3"/>
    <dgm:cxn modelId="{78011AA8-FF8A-4885-AC30-B020FC3BC077}" type="presOf" srcId="{6423B9B8-F2A8-428F-87E5-C847688E9A3B}" destId="{53184455-3D23-41B2-A04E-36D8390F0DA8}" srcOrd="0" destOrd="0" presId="urn:microsoft.com/office/officeart/2005/8/layout/bProcess3"/>
    <dgm:cxn modelId="{6629DFA8-0AD4-44C0-A530-E4379DE2F51F}" type="presOf" srcId="{00D67DE6-9B80-404F-B3A0-8B70CEB40436}" destId="{CE0770C5-973D-4FBE-A11D-C155A40CF6EF}" srcOrd="1" destOrd="0" presId="urn:microsoft.com/office/officeart/2005/8/layout/bProcess3"/>
    <dgm:cxn modelId="{F793F7AD-C8F2-4A84-94E3-C9B49A7C5543}" type="presOf" srcId="{38B2DA95-9B6B-4430-95A2-596D6A4508D2}" destId="{758BBAB1-A8E3-4FB8-8E8A-6233548F9DC3}" srcOrd="0" destOrd="0" presId="urn:microsoft.com/office/officeart/2005/8/layout/bProcess3"/>
    <dgm:cxn modelId="{602551B3-AF14-482B-A1AF-EBC7952DCA7C}" type="presOf" srcId="{115108FB-E0B7-47C7-90D2-F007F5F8C0B7}" destId="{1FBED0E7-AA03-4A37-920A-01489AC3D097}" srcOrd="0" destOrd="3" presId="urn:microsoft.com/office/officeart/2005/8/layout/bProcess3"/>
    <dgm:cxn modelId="{07F0B9B7-D0CF-4D3F-A5B5-B5BD9043D4E3}" srcId="{04C6B1E6-9E0A-4CEF-A498-7C126ED0BE42}" destId="{15E8F786-62EA-4484-8667-08EAFBF792A8}" srcOrd="12" destOrd="0" parTransId="{2A35BB3D-2B56-460F-BC68-5F9229E8188B}" sibTransId="{68B6981C-BC5F-4535-A44C-75A8F4339FA7}"/>
    <dgm:cxn modelId="{013996BA-BFF8-4F7D-A4AF-29071A66ED0E}" srcId="{04C6B1E6-9E0A-4CEF-A498-7C126ED0BE42}" destId="{1AAF40F8-5E03-47F0-A5D1-463D7DAB40FF}" srcOrd="0" destOrd="0" parTransId="{85ED2046-5D72-41FF-9783-97930842C9E9}" sibTransId="{43FC4209-2B90-4DB2-AEF6-9B6963D138A7}"/>
    <dgm:cxn modelId="{F41EC3C9-28FC-4499-9888-2E80636369E6}" type="presOf" srcId="{5A3B49EF-B84C-45D3-85DF-17A8EA0CC0EF}" destId="{669F59D7-9D12-4B22-8D2E-2633EE923B81}" srcOrd="0" destOrd="1" presId="urn:microsoft.com/office/officeart/2005/8/layout/bProcess3"/>
    <dgm:cxn modelId="{48CA6ED2-E8EF-433D-A593-CFE6BF427CB2}" type="presOf" srcId="{79ECADAA-8538-412A-91ED-DB066271444C}" destId="{DD05FBC9-2CC2-4E02-8EA7-D7B60695FF0B}" srcOrd="0" destOrd="0" presId="urn:microsoft.com/office/officeart/2005/8/layout/bProcess3"/>
    <dgm:cxn modelId="{B3019CD6-0509-4140-9B4E-FBFBDD45BE0D}" srcId="{FE92A86D-BE59-409C-B5CB-01CA2706D624}" destId="{115108FB-E0B7-47C7-90D2-F007F5F8C0B7}" srcOrd="2" destOrd="0" parTransId="{969B1CAC-1C97-4792-A823-DABE7D5930D7}" sibTransId="{38C695F4-1BF6-457D-85AD-25ED44A11663}"/>
    <dgm:cxn modelId="{33761DD8-47F2-4236-8274-F85E7DEBAA59}" type="presOf" srcId="{187CF7BF-F278-4E21-9584-D5F197C0F798}" destId="{93A11A22-FA09-4717-87CF-0627E26D02F8}" srcOrd="1" destOrd="0" presId="urn:microsoft.com/office/officeart/2005/8/layout/bProcess3"/>
    <dgm:cxn modelId="{2DD52CD9-7C05-49EA-8442-74F75ECC7A7E}" type="presOf" srcId="{963A69D2-B0BF-4F47-AADD-6793B3E116AD}" destId="{704043AB-80C6-477D-8E81-CB9170335BA3}" srcOrd="0" destOrd="0" presId="urn:microsoft.com/office/officeart/2005/8/layout/bProcess3"/>
    <dgm:cxn modelId="{2ACDA8DF-2AB0-4B01-B764-55A63F39148E}" type="presOf" srcId="{9D4CEBE6-AE6E-4F0D-BE42-4C073026552F}" destId="{669F59D7-9D12-4B22-8D2E-2633EE923B81}" srcOrd="0" destOrd="3" presId="urn:microsoft.com/office/officeart/2005/8/layout/bProcess3"/>
    <dgm:cxn modelId="{EE5081E5-01E0-4139-A7BE-066E78791E48}" type="presOf" srcId="{3A7ECC22-0D8A-4B1D-8305-B080B274C791}" destId="{16037FB2-EC2C-4655-9C76-1402C17D4BB8}" srcOrd="1" destOrd="0" presId="urn:microsoft.com/office/officeart/2005/8/layout/bProcess3"/>
    <dgm:cxn modelId="{315E3EEB-3CB3-4153-A71C-11EDA11E42D7}" type="presOf" srcId="{541BBBEF-4E92-4FC0-9607-737543A19E6E}" destId="{1EB5E797-AE5B-46F0-949B-DA2B0FC96ACA}" srcOrd="0" destOrd="0" presId="urn:microsoft.com/office/officeart/2005/8/layout/bProcess3"/>
    <dgm:cxn modelId="{CA57DDF4-DA82-45F5-A6B6-7A862CA24981}" srcId="{04C6B1E6-9E0A-4CEF-A498-7C126ED0BE42}" destId="{544A72FB-864B-4C65-8A34-E0AAC487E27A}" srcOrd="6" destOrd="0" parTransId="{158ECEDE-32C7-48D0-B59B-0BAC86D2000B}" sibTransId="{187CF7BF-F278-4E21-9584-D5F197C0F798}"/>
    <dgm:cxn modelId="{F09036F6-F2B6-4BF3-978A-BDB4DFF62055}" type="presOf" srcId="{8B1D1EFE-B522-4641-A732-05500D97A463}" destId="{AA191DFB-4CFC-470F-8F23-9319E28C08FE}" srcOrd="0" destOrd="0" presId="urn:microsoft.com/office/officeart/2005/8/layout/bProcess3"/>
    <dgm:cxn modelId="{1A545EF6-A842-4811-A460-A8CBDAE6C8E7}" srcId="{04C6B1E6-9E0A-4CEF-A498-7C126ED0BE42}" destId="{79ECADAA-8538-412A-91ED-DB066271444C}" srcOrd="4" destOrd="0" parTransId="{5192AF0D-5EE7-4951-9D3B-16807A8B2EDF}" sibTransId="{A27F211E-E6E3-412E-8FF0-8CECD6EE368C}"/>
    <dgm:cxn modelId="{29B3D3F8-4E8F-42EC-9FD5-087EE788CB0F}" type="presOf" srcId="{04C6B1E6-9E0A-4CEF-A498-7C126ED0BE42}" destId="{670BD6D5-7C3E-4CA0-9F36-7A3735C28603}" srcOrd="0" destOrd="0" presId="urn:microsoft.com/office/officeart/2005/8/layout/bProcess3"/>
    <dgm:cxn modelId="{810732F9-6861-4946-BAEE-2AEF966E6A02}" type="presOf" srcId="{68B6981C-BC5F-4535-A44C-75A8F4339FA7}" destId="{841DABFB-C1FA-46D2-AF06-E0B5F0529B30}" srcOrd="1" destOrd="0" presId="urn:microsoft.com/office/officeart/2005/8/layout/bProcess3"/>
    <dgm:cxn modelId="{B1CEEFF9-00B2-43BA-804F-FD9C9DFE1750}" srcId="{04C6B1E6-9E0A-4CEF-A498-7C126ED0BE42}" destId="{66990A4F-23A3-4B1B-8CD2-85BDB86F77F7}" srcOrd="11" destOrd="0" parTransId="{8D5691E2-3C5C-4F73-85EC-AB5067616E05}" sibTransId="{6423B9B8-F2A8-428F-87E5-C847688E9A3B}"/>
    <dgm:cxn modelId="{5216F9BC-9BD5-4300-A911-4A15AD9E0379}" type="presParOf" srcId="{670BD6D5-7C3E-4CA0-9F36-7A3735C28603}" destId="{ACC8E42D-EEB9-4F87-BED3-C671F5D3D992}" srcOrd="0" destOrd="0" presId="urn:microsoft.com/office/officeart/2005/8/layout/bProcess3"/>
    <dgm:cxn modelId="{7A74948B-0233-4B61-B71E-9B7D7E5BF886}" type="presParOf" srcId="{670BD6D5-7C3E-4CA0-9F36-7A3735C28603}" destId="{B391EA52-A615-459E-9CD7-8535D06BF784}" srcOrd="1" destOrd="0" presId="urn:microsoft.com/office/officeart/2005/8/layout/bProcess3"/>
    <dgm:cxn modelId="{14BC50B2-4AD1-4789-9BAC-D61CA8EFB68D}" type="presParOf" srcId="{B391EA52-A615-459E-9CD7-8535D06BF784}" destId="{AEA9C0E7-6967-4C16-AB6B-219312874511}" srcOrd="0" destOrd="0" presId="urn:microsoft.com/office/officeart/2005/8/layout/bProcess3"/>
    <dgm:cxn modelId="{02F92C13-B439-4F61-B509-E466B72B793F}" type="presParOf" srcId="{670BD6D5-7C3E-4CA0-9F36-7A3735C28603}" destId="{704043AB-80C6-477D-8E81-CB9170335BA3}" srcOrd="2" destOrd="0" presId="urn:microsoft.com/office/officeart/2005/8/layout/bProcess3"/>
    <dgm:cxn modelId="{D631F619-2553-426D-8433-8DF76B396B80}" type="presParOf" srcId="{670BD6D5-7C3E-4CA0-9F36-7A3735C28603}" destId="{344182A4-37C0-4E7B-B805-3DEC958888BB}" srcOrd="3" destOrd="0" presId="urn:microsoft.com/office/officeart/2005/8/layout/bProcess3"/>
    <dgm:cxn modelId="{1361FBBA-53C9-49E5-BFEC-347352E34B83}" type="presParOf" srcId="{344182A4-37C0-4E7B-B805-3DEC958888BB}" destId="{7EDD551A-BD0B-457D-9666-EEE985A0DA21}" srcOrd="0" destOrd="0" presId="urn:microsoft.com/office/officeart/2005/8/layout/bProcess3"/>
    <dgm:cxn modelId="{97BD5240-D7C6-4EAB-9653-3E68FC94BE4D}" type="presParOf" srcId="{670BD6D5-7C3E-4CA0-9F36-7A3735C28603}" destId="{A8D02A4F-A4AA-4A83-A8CE-9837F2F6BCA4}" srcOrd="4" destOrd="0" presId="urn:microsoft.com/office/officeart/2005/8/layout/bProcess3"/>
    <dgm:cxn modelId="{1F9C756E-63E6-4E66-904F-44748D346D5E}" type="presParOf" srcId="{670BD6D5-7C3E-4CA0-9F36-7A3735C28603}" destId="{6290AEE2-69DA-4AC1-9265-FAB645416B19}" srcOrd="5" destOrd="0" presId="urn:microsoft.com/office/officeart/2005/8/layout/bProcess3"/>
    <dgm:cxn modelId="{E3623D6A-453F-44D8-8ED2-5136F9EE5188}" type="presParOf" srcId="{6290AEE2-69DA-4AC1-9265-FAB645416B19}" destId="{C48C8A6F-7D7F-4E49-B001-F4630B6B8E90}" srcOrd="0" destOrd="0" presId="urn:microsoft.com/office/officeart/2005/8/layout/bProcess3"/>
    <dgm:cxn modelId="{3DC611C6-0480-4990-9CC2-3C8710B9AE4F}" type="presParOf" srcId="{670BD6D5-7C3E-4CA0-9F36-7A3735C28603}" destId="{8FE70C34-5354-498D-A334-96CA65F1A1B6}" srcOrd="6" destOrd="0" presId="urn:microsoft.com/office/officeart/2005/8/layout/bProcess3"/>
    <dgm:cxn modelId="{CA1C16C9-6EDF-42E2-9F30-B8521832BCAC}" type="presParOf" srcId="{670BD6D5-7C3E-4CA0-9F36-7A3735C28603}" destId="{EA412E62-05BF-4FC0-A001-70ECC47B22FB}" srcOrd="7" destOrd="0" presId="urn:microsoft.com/office/officeart/2005/8/layout/bProcess3"/>
    <dgm:cxn modelId="{7D7A4192-D414-4E5A-9FC7-432EC74CF50F}" type="presParOf" srcId="{EA412E62-05BF-4FC0-A001-70ECC47B22FB}" destId="{22E2CA3C-3A97-4CA6-BD73-B12E3FA1CB37}" srcOrd="0" destOrd="0" presId="urn:microsoft.com/office/officeart/2005/8/layout/bProcess3"/>
    <dgm:cxn modelId="{356FDA65-3CA6-4364-AFB3-D30FC9328AC1}" type="presParOf" srcId="{670BD6D5-7C3E-4CA0-9F36-7A3735C28603}" destId="{DD05FBC9-2CC2-4E02-8EA7-D7B60695FF0B}" srcOrd="8" destOrd="0" presId="urn:microsoft.com/office/officeart/2005/8/layout/bProcess3"/>
    <dgm:cxn modelId="{49B263EE-86A8-4955-83AC-BE7FA4B54E0C}" type="presParOf" srcId="{670BD6D5-7C3E-4CA0-9F36-7A3735C28603}" destId="{60F1EB0B-1117-46A3-923C-782E5B074CCE}" srcOrd="9" destOrd="0" presId="urn:microsoft.com/office/officeart/2005/8/layout/bProcess3"/>
    <dgm:cxn modelId="{6542D7EA-752B-4DAF-88A9-FC5F86757D0C}" type="presParOf" srcId="{60F1EB0B-1117-46A3-923C-782E5B074CCE}" destId="{FAFFFCB2-40A6-4396-9911-3D4D4322A8E7}" srcOrd="0" destOrd="0" presId="urn:microsoft.com/office/officeart/2005/8/layout/bProcess3"/>
    <dgm:cxn modelId="{EDD6C3DD-3CA2-4915-B270-201946B699BD}" type="presParOf" srcId="{670BD6D5-7C3E-4CA0-9F36-7A3735C28603}" destId="{758BBAB1-A8E3-4FB8-8E8A-6233548F9DC3}" srcOrd="10" destOrd="0" presId="urn:microsoft.com/office/officeart/2005/8/layout/bProcess3"/>
    <dgm:cxn modelId="{FEE3F7FB-D801-4898-ADFF-EB898926B528}" type="presParOf" srcId="{670BD6D5-7C3E-4CA0-9F36-7A3735C28603}" destId="{AA191DFB-4CFC-470F-8F23-9319E28C08FE}" srcOrd="11" destOrd="0" presId="urn:microsoft.com/office/officeart/2005/8/layout/bProcess3"/>
    <dgm:cxn modelId="{13230703-97EE-4163-BA9E-847F8EFF679F}" type="presParOf" srcId="{AA191DFB-4CFC-470F-8F23-9319E28C08FE}" destId="{61827DF4-F795-422B-AAB7-2396378B1FE8}" srcOrd="0" destOrd="0" presId="urn:microsoft.com/office/officeart/2005/8/layout/bProcess3"/>
    <dgm:cxn modelId="{EEC26D59-A3F0-4522-A7EB-B040BADE2906}" type="presParOf" srcId="{670BD6D5-7C3E-4CA0-9F36-7A3735C28603}" destId="{18693BE2-9DAF-4D18-B83F-BF5E9526A81C}" srcOrd="12" destOrd="0" presId="urn:microsoft.com/office/officeart/2005/8/layout/bProcess3"/>
    <dgm:cxn modelId="{91C1B726-1CF8-4EE0-ADEC-8BCB9546FC1D}" type="presParOf" srcId="{670BD6D5-7C3E-4CA0-9F36-7A3735C28603}" destId="{3C5751A7-059D-4025-AB5B-E9DFD2E8E7B4}" srcOrd="13" destOrd="0" presId="urn:microsoft.com/office/officeart/2005/8/layout/bProcess3"/>
    <dgm:cxn modelId="{AFB531D1-A680-4C2F-ACB9-050D449DD268}" type="presParOf" srcId="{3C5751A7-059D-4025-AB5B-E9DFD2E8E7B4}" destId="{93A11A22-FA09-4717-87CF-0627E26D02F8}" srcOrd="0" destOrd="0" presId="urn:microsoft.com/office/officeart/2005/8/layout/bProcess3"/>
    <dgm:cxn modelId="{052792A1-20E5-46F6-87E6-EC2674C27634}" type="presParOf" srcId="{670BD6D5-7C3E-4CA0-9F36-7A3735C28603}" destId="{19535580-3372-4D73-A164-792C15ACFC5D}" srcOrd="14" destOrd="0" presId="urn:microsoft.com/office/officeart/2005/8/layout/bProcess3"/>
    <dgm:cxn modelId="{B6473ABD-8815-4425-8847-2A1AC9DD1681}" type="presParOf" srcId="{670BD6D5-7C3E-4CA0-9F36-7A3735C28603}" destId="{F312038E-887E-40D6-8CB3-9C40DA1131EE}" srcOrd="15" destOrd="0" presId="urn:microsoft.com/office/officeart/2005/8/layout/bProcess3"/>
    <dgm:cxn modelId="{2884AC35-1605-4DE9-9EEA-6EB3CB6B1EB6}" type="presParOf" srcId="{F312038E-887E-40D6-8CB3-9C40DA1131EE}" destId="{001D0827-611E-4A29-971F-2B6A528F42EB}" srcOrd="0" destOrd="0" presId="urn:microsoft.com/office/officeart/2005/8/layout/bProcess3"/>
    <dgm:cxn modelId="{204171B5-E4E9-4C65-A147-758CEE916BFE}" type="presParOf" srcId="{670BD6D5-7C3E-4CA0-9F36-7A3735C28603}" destId="{1EB5E797-AE5B-46F0-949B-DA2B0FC96ACA}" srcOrd="16" destOrd="0" presId="urn:microsoft.com/office/officeart/2005/8/layout/bProcess3"/>
    <dgm:cxn modelId="{F5BD4D2A-6140-495C-9116-07B1F99FC21A}" type="presParOf" srcId="{670BD6D5-7C3E-4CA0-9F36-7A3735C28603}" destId="{75676218-E7B7-41F7-8941-C4582E7BA379}" srcOrd="17" destOrd="0" presId="urn:microsoft.com/office/officeart/2005/8/layout/bProcess3"/>
    <dgm:cxn modelId="{B5552E13-B322-4080-9784-B9F62E2CF64E}" type="presParOf" srcId="{75676218-E7B7-41F7-8941-C4582E7BA379}" destId="{CE0770C5-973D-4FBE-A11D-C155A40CF6EF}" srcOrd="0" destOrd="0" presId="urn:microsoft.com/office/officeart/2005/8/layout/bProcess3"/>
    <dgm:cxn modelId="{346EF5AB-B33E-4872-886C-641D89579895}" type="presParOf" srcId="{670BD6D5-7C3E-4CA0-9F36-7A3735C28603}" destId="{A038DAA0-3CAA-4621-A924-01B4F13549DA}" srcOrd="18" destOrd="0" presId="urn:microsoft.com/office/officeart/2005/8/layout/bProcess3"/>
    <dgm:cxn modelId="{13DF3C60-8B2B-4E42-94CB-94DD08E56278}" type="presParOf" srcId="{670BD6D5-7C3E-4CA0-9F36-7A3735C28603}" destId="{96A14EF0-EF38-4F18-9903-E3AE05EF1E14}" srcOrd="19" destOrd="0" presId="urn:microsoft.com/office/officeart/2005/8/layout/bProcess3"/>
    <dgm:cxn modelId="{BC44355A-84DA-4AA1-BEE6-06F9B6534CF1}" type="presParOf" srcId="{96A14EF0-EF38-4F18-9903-E3AE05EF1E14}" destId="{9DF5C307-5222-4122-AF9D-D0F89DB6F616}" srcOrd="0" destOrd="0" presId="urn:microsoft.com/office/officeart/2005/8/layout/bProcess3"/>
    <dgm:cxn modelId="{1A34F279-7151-44DC-A4C8-868B535278CC}" type="presParOf" srcId="{670BD6D5-7C3E-4CA0-9F36-7A3735C28603}" destId="{AF44471B-2BE2-4DD8-94CC-12854D4E9ECD}" srcOrd="20" destOrd="0" presId="urn:microsoft.com/office/officeart/2005/8/layout/bProcess3"/>
    <dgm:cxn modelId="{82FD76DC-05EF-4489-A5A5-91381AC7EE4B}" type="presParOf" srcId="{670BD6D5-7C3E-4CA0-9F36-7A3735C28603}" destId="{314D4EF2-451D-425F-8813-9614182F91FB}" srcOrd="21" destOrd="0" presId="urn:microsoft.com/office/officeart/2005/8/layout/bProcess3"/>
    <dgm:cxn modelId="{39539519-9968-48DC-BF96-3984D996C35E}" type="presParOf" srcId="{314D4EF2-451D-425F-8813-9614182F91FB}" destId="{16037FB2-EC2C-4655-9C76-1402C17D4BB8}" srcOrd="0" destOrd="0" presId="urn:microsoft.com/office/officeart/2005/8/layout/bProcess3"/>
    <dgm:cxn modelId="{08052EA2-BB64-4825-A6B3-4C477E592059}" type="presParOf" srcId="{670BD6D5-7C3E-4CA0-9F36-7A3735C28603}" destId="{123BDDD6-0175-4CDB-BBFE-F0CDDD92C873}" srcOrd="22" destOrd="0" presId="urn:microsoft.com/office/officeart/2005/8/layout/bProcess3"/>
    <dgm:cxn modelId="{D98A30C2-C5C9-4CE7-AECD-C190F9356A7F}" type="presParOf" srcId="{670BD6D5-7C3E-4CA0-9F36-7A3735C28603}" destId="{53184455-3D23-41B2-A04E-36D8390F0DA8}" srcOrd="23" destOrd="0" presId="urn:microsoft.com/office/officeart/2005/8/layout/bProcess3"/>
    <dgm:cxn modelId="{26B91DE0-2B69-4DAB-BD1F-486D6413CC04}" type="presParOf" srcId="{53184455-3D23-41B2-A04E-36D8390F0DA8}" destId="{AEB2376A-B19D-4CA5-8DB8-919B574FC814}" srcOrd="0" destOrd="0" presId="urn:microsoft.com/office/officeart/2005/8/layout/bProcess3"/>
    <dgm:cxn modelId="{19A18695-13DA-4CA9-A1F6-BCCBBF069193}" type="presParOf" srcId="{670BD6D5-7C3E-4CA0-9F36-7A3735C28603}" destId="{E18BD02F-05B7-4247-A8C2-17189C9EC8A9}" srcOrd="24" destOrd="0" presId="urn:microsoft.com/office/officeart/2005/8/layout/bProcess3"/>
    <dgm:cxn modelId="{6F4286CE-8F22-403A-954E-3EAB5578318D}" type="presParOf" srcId="{670BD6D5-7C3E-4CA0-9F36-7A3735C28603}" destId="{C6FBEB2E-DC6C-4002-B26A-7D36647A1700}" srcOrd="25" destOrd="0" presId="urn:microsoft.com/office/officeart/2005/8/layout/bProcess3"/>
    <dgm:cxn modelId="{4C6C6325-9365-4E56-8666-CC0C1B7B3FD0}" type="presParOf" srcId="{C6FBEB2E-DC6C-4002-B26A-7D36647A1700}" destId="{841DABFB-C1FA-46D2-AF06-E0B5F0529B30}" srcOrd="0" destOrd="0" presId="urn:microsoft.com/office/officeart/2005/8/layout/bProcess3"/>
    <dgm:cxn modelId="{3EF23E27-70C0-409B-91AB-FBF16CD407C2}" type="presParOf" srcId="{670BD6D5-7C3E-4CA0-9F36-7A3735C28603}" destId="{1FBED0E7-AA03-4A37-920A-01489AC3D097}" srcOrd="26" destOrd="0" presId="urn:microsoft.com/office/officeart/2005/8/layout/bProcess3"/>
    <dgm:cxn modelId="{8A056A55-788E-42F6-8ACE-D375402BBC63}" type="presParOf" srcId="{670BD6D5-7C3E-4CA0-9F36-7A3735C28603}" destId="{F9D87653-1E60-4DDF-A644-EA5D946FBF5D}" srcOrd="27" destOrd="0" presId="urn:microsoft.com/office/officeart/2005/8/layout/bProcess3"/>
    <dgm:cxn modelId="{A9D0886A-0FDE-42AA-98C0-6EEAAA449E94}" type="presParOf" srcId="{F9D87653-1E60-4DDF-A644-EA5D946FBF5D}" destId="{BD064CD3-3157-4CB0-A49B-D8CF11236E17}" srcOrd="0" destOrd="0" presId="urn:microsoft.com/office/officeart/2005/8/layout/bProcess3"/>
    <dgm:cxn modelId="{5C006457-6C88-47D2-81F2-9F86C9A12B9C}" type="presParOf" srcId="{670BD6D5-7C3E-4CA0-9F36-7A3735C28603}" destId="{669F59D7-9D12-4B22-8D2E-2633EE923B81}" srcOrd="28" destOrd="0" presId="urn:microsoft.com/office/officeart/2005/8/layout/bProcess3"/>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14.xml><?xml version="1.0" encoding="utf-8"?>
<dgm:dataModel xmlns:dgm="http://schemas.openxmlformats.org/drawingml/2006/diagram" xmlns:a="http://schemas.openxmlformats.org/drawingml/2006/main">
  <dgm:ptLst>
    <dgm:pt modelId="{4F39EC4F-FD9C-4892-A49E-8872303E9F87}" type="doc">
      <dgm:prSet loTypeId="urn:microsoft.com/office/officeart/2005/8/layout/hList6" loCatId="list" qsTypeId="urn:microsoft.com/office/officeart/2005/8/quickstyle/simple1" qsCatId="simple" csTypeId="urn:microsoft.com/office/officeart/2005/8/colors/accent1_2" csCatId="accent1" phldr="1"/>
      <dgm:spPr/>
      <dgm:t>
        <a:bodyPr/>
        <a:lstStyle/>
        <a:p>
          <a:endParaRPr lang="en-AU"/>
        </a:p>
      </dgm:t>
    </dgm:pt>
    <dgm:pt modelId="{306DF8A3-4CEB-4CD0-B46E-8C8D5C7E85D1}">
      <dgm:prSet phldrT="[Text]"/>
      <dgm:spPr/>
      <dgm:t>
        <a:bodyPr/>
        <a:lstStyle/>
        <a:p>
          <a:r>
            <a:rPr lang="en-AU"/>
            <a:t>Requirements</a:t>
          </a:r>
        </a:p>
      </dgm:t>
    </dgm:pt>
    <dgm:pt modelId="{277A7C14-CA23-4822-A263-F1776A3697D2}" type="parTrans" cxnId="{94E3DB8D-647E-4413-A558-797C4236F8DB}">
      <dgm:prSet/>
      <dgm:spPr/>
      <dgm:t>
        <a:bodyPr/>
        <a:lstStyle/>
        <a:p>
          <a:endParaRPr lang="en-AU"/>
        </a:p>
      </dgm:t>
    </dgm:pt>
    <dgm:pt modelId="{925B809E-FFC0-4471-92E3-C43DEC0A2842}" type="sibTrans" cxnId="{94E3DB8D-647E-4413-A558-797C4236F8DB}">
      <dgm:prSet/>
      <dgm:spPr/>
      <dgm:t>
        <a:bodyPr/>
        <a:lstStyle/>
        <a:p>
          <a:endParaRPr lang="en-AU"/>
        </a:p>
      </dgm:t>
    </dgm:pt>
    <dgm:pt modelId="{55BE48A5-E92E-4600-80DD-BB22BD6BF4E4}">
      <dgm:prSet phldrT="[Text]"/>
      <dgm:spPr/>
      <dgm:t>
        <a:bodyPr/>
        <a:lstStyle/>
        <a:p>
          <a:r>
            <a:rPr lang="en-AU"/>
            <a:t>Architecture Decision Record</a:t>
          </a:r>
        </a:p>
      </dgm:t>
    </dgm:pt>
    <dgm:pt modelId="{2E9413B9-CAFA-4476-9D3C-7008C1F4FB4E}" type="parTrans" cxnId="{2AA6C02F-38F5-4261-A9AE-18B1B40A293D}">
      <dgm:prSet/>
      <dgm:spPr/>
      <dgm:t>
        <a:bodyPr/>
        <a:lstStyle/>
        <a:p>
          <a:endParaRPr lang="en-AU"/>
        </a:p>
      </dgm:t>
    </dgm:pt>
    <dgm:pt modelId="{922D9C09-559A-47D3-B9F0-73E3606BC294}" type="sibTrans" cxnId="{2AA6C02F-38F5-4261-A9AE-18B1B40A293D}">
      <dgm:prSet/>
      <dgm:spPr/>
      <dgm:t>
        <a:bodyPr/>
        <a:lstStyle/>
        <a:p>
          <a:endParaRPr lang="en-AU"/>
        </a:p>
      </dgm:t>
    </dgm:pt>
    <dgm:pt modelId="{8427BC51-AB4F-443F-8126-54F342CE596A}">
      <dgm:prSet phldrT="[Text]"/>
      <dgm:spPr/>
      <dgm:t>
        <a:bodyPr/>
        <a:lstStyle/>
        <a:p>
          <a:r>
            <a:rPr lang="en-AU"/>
            <a:t>RACI</a:t>
          </a:r>
        </a:p>
      </dgm:t>
    </dgm:pt>
    <dgm:pt modelId="{CE7CE7EB-1C31-4229-A361-013BBDD63853}" type="parTrans" cxnId="{76F26BEE-2953-456A-AE07-FF32134ACA53}">
      <dgm:prSet/>
      <dgm:spPr/>
      <dgm:t>
        <a:bodyPr/>
        <a:lstStyle/>
        <a:p>
          <a:endParaRPr lang="en-AU"/>
        </a:p>
      </dgm:t>
    </dgm:pt>
    <dgm:pt modelId="{E0175D4A-8F44-4F8F-92B5-79ED3A4E1CF1}" type="sibTrans" cxnId="{76F26BEE-2953-456A-AE07-FF32134ACA53}">
      <dgm:prSet/>
      <dgm:spPr/>
      <dgm:t>
        <a:bodyPr/>
        <a:lstStyle/>
        <a:p>
          <a:endParaRPr lang="en-AU"/>
        </a:p>
      </dgm:t>
    </dgm:pt>
    <dgm:pt modelId="{1C1D7B35-A633-4244-9780-268DDD5A3303}">
      <dgm:prSet phldrT="[Text]"/>
      <dgm:spPr/>
      <dgm:t>
        <a:bodyPr/>
        <a:lstStyle/>
        <a:p>
          <a:r>
            <a:rPr lang="en-AU"/>
            <a:t>Role Assignment</a:t>
          </a:r>
        </a:p>
      </dgm:t>
    </dgm:pt>
    <dgm:pt modelId="{5CF2967B-92C4-4BD7-BDD3-419E5BBB51C5}" type="parTrans" cxnId="{80DA0E10-F990-4942-98B6-4EAF7E4B5B47}">
      <dgm:prSet/>
      <dgm:spPr/>
      <dgm:t>
        <a:bodyPr/>
        <a:lstStyle/>
        <a:p>
          <a:endParaRPr lang="en-AU"/>
        </a:p>
      </dgm:t>
    </dgm:pt>
    <dgm:pt modelId="{F7E7112F-1402-4157-A48D-F6B8FDC92E66}" type="sibTrans" cxnId="{80DA0E10-F990-4942-98B6-4EAF7E4B5B47}">
      <dgm:prSet/>
      <dgm:spPr/>
      <dgm:t>
        <a:bodyPr/>
        <a:lstStyle/>
        <a:p>
          <a:endParaRPr lang="en-AU"/>
        </a:p>
      </dgm:t>
    </dgm:pt>
    <dgm:pt modelId="{0DC44B50-91A8-4DAF-85E7-7803985AFB93}">
      <dgm:prSet phldrT="[Text]"/>
      <dgm:spPr/>
      <dgm:t>
        <a:bodyPr/>
        <a:lstStyle/>
        <a:p>
          <a:r>
            <a:rPr lang="en-AU"/>
            <a:t>Architecture BCDR Design</a:t>
          </a:r>
        </a:p>
      </dgm:t>
    </dgm:pt>
    <dgm:pt modelId="{98B8B3B0-9B75-4B1E-B6EB-D8AD0818A039}" type="parTrans" cxnId="{18E88245-FC43-40BA-A4D2-3FC5563C2157}">
      <dgm:prSet/>
      <dgm:spPr/>
      <dgm:t>
        <a:bodyPr/>
        <a:lstStyle/>
        <a:p>
          <a:endParaRPr lang="en-AU"/>
        </a:p>
      </dgm:t>
    </dgm:pt>
    <dgm:pt modelId="{43ED58B9-C305-45C9-94C3-AE7B71F0CB0A}" type="sibTrans" cxnId="{18E88245-FC43-40BA-A4D2-3FC5563C2157}">
      <dgm:prSet/>
      <dgm:spPr/>
      <dgm:t>
        <a:bodyPr/>
        <a:lstStyle/>
        <a:p>
          <a:endParaRPr lang="en-AU"/>
        </a:p>
      </dgm:t>
    </dgm:pt>
    <dgm:pt modelId="{558156F5-04BD-46D4-A19F-E3DD196D23B8}">
      <dgm:prSet phldrT="[Text]"/>
      <dgm:spPr/>
      <dgm:t>
        <a:bodyPr/>
        <a:lstStyle/>
        <a:p>
          <a:r>
            <a:rPr lang="en-AU"/>
            <a:t>Total Cost of Ownership</a:t>
          </a:r>
        </a:p>
      </dgm:t>
    </dgm:pt>
    <dgm:pt modelId="{BBB50AC6-0DBF-4E0A-9327-6E5A8873CF44}" type="parTrans" cxnId="{1B08266B-B18A-4969-AA28-D8860D13A48C}">
      <dgm:prSet/>
      <dgm:spPr/>
      <dgm:t>
        <a:bodyPr/>
        <a:lstStyle/>
        <a:p>
          <a:endParaRPr lang="en-AU"/>
        </a:p>
      </dgm:t>
    </dgm:pt>
    <dgm:pt modelId="{F0D7D73F-47C6-4C54-9EE9-E742C06971BA}" type="sibTrans" cxnId="{1B08266B-B18A-4969-AA28-D8860D13A48C}">
      <dgm:prSet/>
      <dgm:spPr/>
      <dgm:t>
        <a:bodyPr/>
        <a:lstStyle/>
        <a:p>
          <a:endParaRPr lang="en-AU"/>
        </a:p>
      </dgm:t>
    </dgm:pt>
    <dgm:pt modelId="{3C44519D-ED37-4483-880E-F31FCDA22242}">
      <dgm:prSet phldrT="[Text]"/>
      <dgm:spPr/>
      <dgm:t>
        <a:bodyPr/>
        <a:lstStyle/>
        <a:p>
          <a:r>
            <a:rPr lang="en-AU"/>
            <a:t>Service Map</a:t>
          </a:r>
        </a:p>
      </dgm:t>
    </dgm:pt>
    <dgm:pt modelId="{C83BDD42-1E18-4F92-9FFE-16310611DB78}" type="parTrans" cxnId="{E5F7439D-BBA7-4F56-B8C4-E6FFD790DAA1}">
      <dgm:prSet/>
      <dgm:spPr/>
      <dgm:t>
        <a:bodyPr/>
        <a:lstStyle/>
        <a:p>
          <a:endParaRPr lang="en-AU"/>
        </a:p>
      </dgm:t>
    </dgm:pt>
    <dgm:pt modelId="{209D081F-4E09-4A43-A7BC-2CFB43860707}" type="sibTrans" cxnId="{E5F7439D-BBA7-4F56-B8C4-E6FFD790DAA1}">
      <dgm:prSet/>
      <dgm:spPr/>
      <dgm:t>
        <a:bodyPr/>
        <a:lstStyle/>
        <a:p>
          <a:endParaRPr lang="en-AU"/>
        </a:p>
      </dgm:t>
    </dgm:pt>
    <dgm:pt modelId="{81B16E74-1EFA-4FB0-B883-4F39E4682F94}">
      <dgm:prSet phldrT="[Text]"/>
      <dgm:spPr/>
      <dgm:t>
        <a:bodyPr/>
        <a:lstStyle/>
        <a:p>
          <a:r>
            <a:rPr lang="en-AU"/>
            <a:t>Fault Tree Analysis</a:t>
          </a:r>
        </a:p>
      </dgm:t>
    </dgm:pt>
    <dgm:pt modelId="{9DEEB485-D04A-48D3-9A7C-398E0B675278}" type="parTrans" cxnId="{7E8BD812-898A-481E-A90F-4C21D4957BF9}">
      <dgm:prSet/>
      <dgm:spPr/>
      <dgm:t>
        <a:bodyPr/>
        <a:lstStyle/>
        <a:p>
          <a:endParaRPr lang="en-AU"/>
        </a:p>
      </dgm:t>
    </dgm:pt>
    <dgm:pt modelId="{F23106F4-7F7A-4DCD-AB79-F2D952D5A57F}" type="sibTrans" cxnId="{7E8BD812-898A-481E-A90F-4C21D4957BF9}">
      <dgm:prSet/>
      <dgm:spPr/>
      <dgm:t>
        <a:bodyPr/>
        <a:lstStyle/>
        <a:p>
          <a:endParaRPr lang="en-AU"/>
        </a:p>
      </dgm:t>
    </dgm:pt>
    <dgm:pt modelId="{A1D16AEF-969E-4743-B467-AFB7578CC936}">
      <dgm:prSet phldrT="[Text]"/>
      <dgm:spPr/>
      <dgm:t>
        <a:bodyPr/>
        <a:lstStyle/>
        <a:p>
          <a:r>
            <a:rPr lang="en-AU"/>
            <a:t>Business Impact Analysis</a:t>
          </a:r>
        </a:p>
      </dgm:t>
    </dgm:pt>
    <dgm:pt modelId="{F42C549C-7D85-44D5-8E0F-3802EF575283}" type="parTrans" cxnId="{EE959A87-3FD9-471D-B24C-9AF8906C3D7C}">
      <dgm:prSet/>
      <dgm:spPr/>
      <dgm:t>
        <a:bodyPr/>
        <a:lstStyle/>
        <a:p>
          <a:endParaRPr lang="en-AU"/>
        </a:p>
      </dgm:t>
    </dgm:pt>
    <dgm:pt modelId="{013BA1FA-6529-4333-BC70-E4043BBC789F}" type="sibTrans" cxnId="{EE959A87-3FD9-471D-B24C-9AF8906C3D7C}">
      <dgm:prSet/>
      <dgm:spPr/>
      <dgm:t>
        <a:bodyPr/>
        <a:lstStyle/>
        <a:p>
          <a:endParaRPr lang="en-AU"/>
        </a:p>
      </dgm:t>
    </dgm:pt>
    <dgm:pt modelId="{14701871-B356-4905-8815-9BB2DC345C39}">
      <dgm:prSet phldrT="[Text]"/>
      <dgm:spPr/>
      <dgm:t>
        <a:bodyPr/>
        <a:lstStyle/>
        <a:p>
          <a:r>
            <a:rPr lang="en-AU"/>
            <a:t>BCDR Governance Updates</a:t>
          </a:r>
        </a:p>
      </dgm:t>
    </dgm:pt>
    <dgm:pt modelId="{5A4DE498-31E0-4659-84B9-A379D218923C}" type="parTrans" cxnId="{C910EEE3-EB8C-42BB-AFA7-E69E8FF73B80}">
      <dgm:prSet/>
      <dgm:spPr/>
      <dgm:t>
        <a:bodyPr/>
        <a:lstStyle/>
        <a:p>
          <a:endParaRPr lang="en-AU"/>
        </a:p>
      </dgm:t>
    </dgm:pt>
    <dgm:pt modelId="{EF64F70C-D559-4611-9DF8-0182B45E9842}" type="sibTrans" cxnId="{C910EEE3-EB8C-42BB-AFA7-E69E8FF73B80}">
      <dgm:prSet/>
      <dgm:spPr/>
      <dgm:t>
        <a:bodyPr/>
        <a:lstStyle/>
        <a:p>
          <a:endParaRPr lang="en-AU"/>
        </a:p>
      </dgm:t>
    </dgm:pt>
    <dgm:pt modelId="{6C60CCB8-928F-4C8C-8942-B209CA5B797F}">
      <dgm:prSet phldrT="[Text]"/>
      <dgm:spPr/>
      <dgm:t>
        <a:bodyPr/>
        <a:lstStyle/>
        <a:p>
          <a:r>
            <a:rPr lang="en-AU"/>
            <a:t>BIA Portfolio Summary</a:t>
          </a:r>
        </a:p>
      </dgm:t>
    </dgm:pt>
    <dgm:pt modelId="{6D7987E6-6AC0-4CF1-A969-F73296F00D22}" type="parTrans" cxnId="{5AF8B8EC-3D05-447A-9CA5-8EF865C01CBC}">
      <dgm:prSet/>
      <dgm:spPr/>
      <dgm:t>
        <a:bodyPr/>
        <a:lstStyle/>
        <a:p>
          <a:endParaRPr lang="en-AU"/>
        </a:p>
      </dgm:t>
    </dgm:pt>
    <dgm:pt modelId="{FFC66740-2192-4DB1-90CB-47CDBE11393B}" type="sibTrans" cxnId="{5AF8B8EC-3D05-447A-9CA5-8EF865C01CBC}">
      <dgm:prSet/>
      <dgm:spPr/>
      <dgm:t>
        <a:bodyPr/>
        <a:lstStyle/>
        <a:p>
          <a:endParaRPr lang="en-AU"/>
        </a:p>
      </dgm:t>
    </dgm:pt>
    <dgm:pt modelId="{1DD6C287-A56E-483F-8EF0-732B111A3DB0}">
      <dgm:prSet phldrT="[Text]"/>
      <dgm:spPr/>
      <dgm:t>
        <a:bodyPr/>
        <a:lstStyle/>
        <a:p>
          <a:r>
            <a:rPr lang="en-AU"/>
            <a:t>Business Critical Calendar</a:t>
          </a:r>
        </a:p>
      </dgm:t>
    </dgm:pt>
    <dgm:pt modelId="{96BA8795-32E9-4616-AF85-A5D87B272874}" type="parTrans" cxnId="{3277E835-FE12-4393-BCEE-C3D0D9F3D3E4}">
      <dgm:prSet/>
      <dgm:spPr/>
      <dgm:t>
        <a:bodyPr/>
        <a:lstStyle/>
        <a:p>
          <a:endParaRPr lang="en-AU"/>
        </a:p>
      </dgm:t>
    </dgm:pt>
    <dgm:pt modelId="{8365E325-52EB-4338-9BC2-D70159E10780}" type="sibTrans" cxnId="{3277E835-FE12-4393-BCEE-C3D0D9F3D3E4}">
      <dgm:prSet/>
      <dgm:spPr/>
      <dgm:t>
        <a:bodyPr/>
        <a:lstStyle/>
        <a:p>
          <a:endParaRPr lang="en-AU"/>
        </a:p>
      </dgm:t>
    </dgm:pt>
    <dgm:pt modelId="{E5F41154-21C8-4AB1-90C5-67C145FCEFB2}">
      <dgm:prSet phldrT="[Text]"/>
      <dgm:spPr/>
      <dgm:t>
        <a:bodyPr/>
        <a:lstStyle/>
        <a:p>
          <a:r>
            <a:rPr lang="en-AU"/>
            <a:t>BCDR Dashboard</a:t>
          </a:r>
        </a:p>
      </dgm:t>
    </dgm:pt>
    <dgm:pt modelId="{58F4FF5B-A510-48B4-9A5F-505CE1DD45BA}" type="parTrans" cxnId="{E6904CD4-6FA3-47AC-A5E0-51A2609A4E41}">
      <dgm:prSet/>
      <dgm:spPr/>
      <dgm:t>
        <a:bodyPr/>
        <a:lstStyle/>
        <a:p>
          <a:endParaRPr lang="en-AU"/>
        </a:p>
      </dgm:t>
    </dgm:pt>
    <dgm:pt modelId="{1CB8D9BB-854E-454E-A06B-6DC5B7CC6CC2}" type="sibTrans" cxnId="{E6904CD4-6FA3-47AC-A5E0-51A2609A4E41}">
      <dgm:prSet/>
      <dgm:spPr/>
      <dgm:t>
        <a:bodyPr/>
        <a:lstStyle/>
        <a:p>
          <a:endParaRPr lang="en-AU"/>
        </a:p>
      </dgm:t>
    </dgm:pt>
    <dgm:pt modelId="{285D95B6-7E76-4C8A-AB16-B48A72A5FA9D}">
      <dgm:prSet phldrT="[Text]"/>
      <dgm:spPr/>
      <dgm:t>
        <a:bodyPr/>
        <a:lstStyle/>
        <a:p>
          <a:r>
            <a:rPr lang="en-AU"/>
            <a:t>Response Plan</a:t>
          </a:r>
        </a:p>
      </dgm:t>
    </dgm:pt>
    <dgm:pt modelId="{A0AC4F6F-5DA0-43DE-BA78-6D7BD46E60F8}" type="parTrans" cxnId="{55FB4082-B01E-424E-A8DB-7E4834A7CDDA}">
      <dgm:prSet/>
      <dgm:spPr/>
      <dgm:t>
        <a:bodyPr/>
        <a:lstStyle/>
        <a:p>
          <a:endParaRPr lang="en-AU"/>
        </a:p>
      </dgm:t>
    </dgm:pt>
    <dgm:pt modelId="{02BC9A82-906C-4E52-85CE-230B94A16899}" type="sibTrans" cxnId="{55FB4082-B01E-424E-A8DB-7E4834A7CDDA}">
      <dgm:prSet/>
      <dgm:spPr/>
      <dgm:t>
        <a:bodyPr/>
        <a:lstStyle/>
        <a:p>
          <a:endParaRPr lang="en-AU"/>
        </a:p>
      </dgm:t>
    </dgm:pt>
    <dgm:pt modelId="{C706674F-E6CA-4570-8AE5-CCE2C90184A5}">
      <dgm:prSet phldrT="[Text]"/>
      <dgm:spPr/>
      <dgm:t>
        <a:bodyPr/>
        <a:lstStyle/>
        <a:p>
          <a:r>
            <a:rPr lang="en-AU"/>
            <a:t>Contingency Plan</a:t>
          </a:r>
        </a:p>
      </dgm:t>
    </dgm:pt>
    <dgm:pt modelId="{E65B513F-2AE0-4A9E-BAB1-6A5227F8E0AA}" type="parTrans" cxnId="{DA12F61B-4AB1-4066-A16A-A57FCB3E0F2A}">
      <dgm:prSet/>
      <dgm:spPr/>
      <dgm:t>
        <a:bodyPr/>
        <a:lstStyle/>
        <a:p>
          <a:endParaRPr lang="en-AU"/>
        </a:p>
      </dgm:t>
    </dgm:pt>
    <dgm:pt modelId="{B57A8AB9-632E-47A1-8D96-C3B387B8EB8C}" type="sibTrans" cxnId="{DA12F61B-4AB1-4066-A16A-A57FCB3E0F2A}">
      <dgm:prSet/>
      <dgm:spPr/>
      <dgm:t>
        <a:bodyPr/>
        <a:lstStyle/>
        <a:p>
          <a:endParaRPr lang="en-AU"/>
        </a:p>
      </dgm:t>
    </dgm:pt>
    <dgm:pt modelId="{F90EF0A0-DA63-4CF6-BEAE-2B6DAC9A8A3C}">
      <dgm:prSet phldrT="[Text]"/>
      <dgm:spPr/>
      <dgm:t>
        <a:bodyPr/>
        <a:lstStyle/>
        <a:p>
          <a:r>
            <a:rPr lang="en-AU"/>
            <a:t>Test Plans</a:t>
          </a:r>
        </a:p>
      </dgm:t>
    </dgm:pt>
    <dgm:pt modelId="{1AA5157B-814D-4D46-86F7-61EFE927EFCA}" type="parTrans" cxnId="{9022F479-F597-41B2-BCD1-FC270E63EA4A}">
      <dgm:prSet/>
      <dgm:spPr/>
      <dgm:t>
        <a:bodyPr/>
        <a:lstStyle/>
        <a:p>
          <a:endParaRPr lang="en-AU"/>
        </a:p>
      </dgm:t>
    </dgm:pt>
    <dgm:pt modelId="{FBA0EE63-CC35-48CF-A09E-7D38F0D9CD54}" type="sibTrans" cxnId="{9022F479-F597-41B2-BCD1-FC270E63EA4A}">
      <dgm:prSet/>
      <dgm:spPr/>
      <dgm:t>
        <a:bodyPr/>
        <a:lstStyle/>
        <a:p>
          <a:endParaRPr lang="en-AU"/>
        </a:p>
      </dgm:t>
    </dgm:pt>
    <dgm:pt modelId="{E396D690-3E0E-44CF-B715-486B5E638668}">
      <dgm:prSet phldrT="[Text]"/>
      <dgm:spPr/>
      <dgm:t>
        <a:bodyPr/>
        <a:lstStyle/>
        <a:p>
          <a:r>
            <a:rPr lang="en-AU"/>
            <a:t>Outage Communication Plan</a:t>
          </a:r>
        </a:p>
      </dgm:t>
    </dgm:pt>
    <dgm:pt modelId="{129A014F-B548-4DED-8E26-54EB0EDA7074}" type="parTrans" cxnId="{932AB235-8152-4BD9-9B34-F5F208E4FEF2}">
      <dgm:prSet/>
      <dgm:spPr/>
      <dgm:t>
        <a:bodyPr/>
        <a:lstStyle/>
        <a:p>
          <a:endParaRPr lang="en-AU"/>
        </a:p>
      </dgm:t>
    </dgm:pt>
    <dgm:pt modelId="{115179FA-D28D-4C56-91E4-569645E6F181}" type="sibTrans" cxnId="{932AB235-8152-4BD9-9B34-F5F208E4FEF2}">
      <dgm:prSet/>
      <dgm:spPr/>
      <dgm:t>
        <a:bodyPr/>
        <a:lstStyle/>
        <a:p>
          <a:endParaRPr lang="en-AU"/>
        </a:p>
      </dgm:t>
    </dgm:pt>
    <dgm:pt modelId="{418486A0-EA1F-437A-8F26-267E41465796}">
      <dgm:prSet phldrT="[Text]"/>
      <dgm:spPr/>
      <dgm:t>
        <a:bodyPr/>
        <a:lstStyle/>
        <a:p>
          <a:r>
            <a:rPr lang="en-AU"/>
            <a:t>Multiple Application Continuity Plan</a:t>
          </a:r>
        </a:p>
      </dgm:t>
    </dgm:pt>
    <dgm:pt modelId="{64CADD8C-5D22-46EE-819B-4E4B62D15B13}" type="parTrans" cxnId="{DD34128C-174A-4F01-9A84-BAA1F71FAD5E}">
      <dgm:prSet/>
      <dgm:spPr/>
      <dgm:t>
        <a:bodyPr/>
        <a:lstStyle/>
        <a:p>
          <a:endParaRPr lang="en-AU"/>
        </a:p>
      </dgm:t>
    </dgm:pt>
    <dgm:pt modelId="{5C2AB67E-7FEE-4EFF-BDE8-4EA81EE52A67}" type="sibTrans" cxnId="{DD34128C-174A-4F01-9A84-BAA1F71FAD5E}">
      <dgm:prSet/>
      <dgm:spPr/>
      <dgm:t>
        <a:bodyPr/>
        <a:lstStyle/>
        <a:p>
          <a:endParaRPr lang="en-AU"/>
        </a:p>
      </dgm:t>
    </dgm:pt>
    <dgm:pt modelId="{63FD497B-22A7-42A5-98FA-62F01D2E3143}" type="pres">
      <dgm:prSet presAssocID="{4F39EC4F-FD9C-4892-A49E-8872303E9F87}" presName="Name0" presStyleCnt="0">
        <dgm:presLayoutVars>
          <dgm:dir/>
          <dgm:resizeHandles val="exact"/>
        </dgm:presLayoutVars>
      </dgm:prSet>
      <dgm:spPr/>
    </dgm:pt>
    <dgm:pt modelId="{E92898EE-A489-45D5-AFC1-1D9F4EF71FD6}" type="pres">
      <dgm:prSet presAssocID="{306DF8A3-4CEB-4CD0-B46E-8C8D5C7E85D1}" presName="node" presStyleLbl="node1" presStyleIdx="0" presStyleCnt="11">
        <dgm:presLayoutVars>
          <dgm:bulletEnabled val="1"/>
        </dgm:presLayoutVars>
      </dgm:prSet>
      <dgm:spPr/>
    </dgm:pt>
    <dgm:pt modelId="{1687956E-6520-4E0E-9A46-AF3C225A576C}" type="pres">
      <dgm:prSet presAssocID="{925B809E-FFC0-4471-92E3-C43DEC0A2842}" presName="sibTrans" presStyleCnt="0"/>
      <dgm:spPr/>
    </dgm:pt>
    <dgm:pt modelId="{F9F4C95B-509D-4416-B9B8-D2225FA9F286}" type="pres">
      <dgm:prSet presAssocID="{8427BC51-AB4F-443F-8126-54F342CE596A}" presName="node" presStyleLbl="node1" presStyleIdx="1" presStyleCnt="11">
        <dgm:presLayoutVars>
          <dgm:bulletEnabled val="1"/>
        </dgm:presLayoutVars>
      </dgm:prSet>
      <dgm:spPr/>
    </dgm:pt>
    <dgm:pt modelId="{BAA1A345-6969-4458-9EF8-4FDDE1B2BCD1}" type="pres">
      <dgm:prSet presAssocID="{E0175D4A-8F44-4F8F-92B5-79ED3A4E1CF1}" presName="sibTrans" presStyleCnt="0"/>
      <dgm:spPr/>
    </dgm:pt>
    <dgm:pt modelId="{F8ECBBDB-1648-40D0-86C1-35900B7431D9}" type="pres">
      <dgm:prSet presAssocID="{3C44519D-ED37-4483-880E-F31FCDA22242}" presName="node" presStyleLbl="node1" presStyleIdx="2" presStyleCnt="11">
        <dgm:presLayoutVars>
          <dgm:bulletEnabled val="1"/>
        </dgm:presLayoutVars>
      </dgm:prSet>
      <dgm:spPr/>
    </dgm:pt>
    <dgm:pt modelId="{48C93B03-8645-421E-A0C2-E28A5AE596EA}" type="pres">
      <dgm:prSet presAssocID="{209D081F-4E09-4A43-A7BC-2CFB43860707}" presName="sibTrans" presStyleCnt="0"/>
      <dgm:spPr/>
    </dgm:pt>
    <dgm:pt modelId="{F61C619B-68FA-4BDF-BCA7-7B2B90901B02}" type="pres">
      <dgm:prSet presAssocID="{0DC44B50-91A8-4DAF-85E7-7803985AFB93}" presName="node" presStyleLbl="node1" presStyleIdx="3" presStyleCnt="11">
        <dgm:presLayoutVars>
          <dgm:bulletEnabled val="1"/>
        </dgm:presLayoutVars>
      </dgm:prSet>
      <dgm:spPr/>
    </dgm:pt>
    <dgm:pt modelId="{9C9747AD-3CF3-4C45-94A5-78F3B7AF68E5}" type="pres">
      <dgm:prSet presAssocID="{43ED58B9-C305-45C9-94C3-AE7B71F0CB0A}" presName="sibTrans" presStyleCnt="0"/>
      <dgm:spPr/>
    </dgm:pt>
    <dgm:pt modelId="{25B0B4D2-0670-4512-96DC-F7E73833F16E}" type="pres">
      <dgm:prSet presAssocID="{81B16E74-1EFA-4FB0-B883-4F39E4682F94}" presName="node" presStyleLbl="node1" presStyleIdx="4" presStyleCnt="11">
        <dgm:presLayoutVars>
          <dgm:bulletEnabled val="1"/>
        </dgm:presLayoutVars>
      </dgm:prSet>
      <dgm:spPr/>
    </dgm:pt>
    <dgm:pt modelId="{74C21FB8-BD30-40EE-95DA-482C233D9778}" type="pres">
      <dgm:prSet presAssocID="{F23106F4-7F7A-4DCD-AB79-F2D952D5A57F}" presName="sibTrans" presStyleCnt="0"/>
      <dgm:spPr/>
    </dgm:pt>
    <dgm:pt modelId="{078CD03C-ADDF-495D-A279-AC1C4ACD725F}" type="pres">
      <dgm:prSet presAssocID="{A1D16AEF-969E-4743-B467-AFB7578CC936}" presName="node" presStyleLbl="node1" presStyleIdx="5" presStyleCnt="11">
        <dgm:presLayoutVars>
          <dgm:bulletEnabled val="1"/>
        </dgm:presLayoutVars>
      </dgm:prSet>
      <dgm:spPr/>
    </dgm:pt>
    <dgm:pt modelId="{37C61DA2-B992-48EF-B4F4-E35D22D60B31}" type="pres">
      <dgm:prSet presAssocID="{013BA1FA-6529-4333-BC70-E4043BBC789F}" presName="sibTrans" presStyleCnt="0"/>
      <dgm:spPr/>
    </dgm:pt>
    <dgm:pt modelId="{5CBB3D11-6689-4558-89FF-A325E0468CB8}" type="pres">
      <dgm:prSet presAssocID="{285D95B6-7E76-4C8A-AB16-B48A72A5FA9D}" presName="node" presStyleLbl="node1" presStyleIdx="6" presStyleCnt="11">
        <dgm:presLayoutVars>
          <dgm:bulletEnabled val="1"/>
        </dgm:presLayoutVars>
      </dgm:prSet>
      <dgm:spPr/>
    </dgm:pt>
    <dgm:pt modelId="{017A5866-009C-49DD-8F9A-2BC62F070545}" type="pres">
      <dgm:prSet presAssocID="{02BC9A82-906C-4E52-85CE-230B94A16899}" presName="sibTrans" presStyleCnt="0"/>
      <dgm:spPr/>
    </dgm:pt>
    <dgm:pt modelId="{4616B51C-F5AF-4D15-A258-DB6A4789C557}" type="pres">
      <dgm:prSet presAssocID="{C706674F-E6CA-4570-8AE5-CCE2C90184A5}" presName="node" presStyleLbl="node1" presStyleIdx="7" presStyleCnt="11">
        <dgm:presLayoutVars>
          <dgm:bulletEnabled val="1"/>
        </dgm:presLayoutVars>
      </dgm:prSet>
      <dgm:spPr/>
    </dgm:pt>
    <dgm:pt modelId="{FBFD7DE7-8E57-403A-9902-94D86D74904B}" type="pres">
      <dgm:prSet presAssocID="{B57A8AB9-632E-47A1-8D96-C3B387B8EB8C}" presName="sibTrans" presStyleCnt="0"/>
      <dgm:spPr/>
    </dgm:pt>
    <dgm:pt modelId="{3212F404-DFE2-43E3-A48F-93D9541023BC}" type="pres">
      <dgm:prSet presAssocID="{F90EF0A0-DA63-4CF6-BEAE-2B6DAC9A8A3C}" presName="node" presStyleLbl="node1" presStyleIdx="8" presStyleCnt="11">
        <dgm:presLayoutVars>
          <dgm:bulletEnabled val="1"/>
        </dgm:presLayoutVars>
      </dgm:prSet>
      <dgm:spPr/>
    </dgm:pt>
    <dgm:pt modelId="{07622952-BB17-4A3A-9DD7-EE4619A7C01B}" type="pres">
      <dgm:prSet presAssocID="{FBA0EE63-CC35-48CF-A09E-7D38F0D9CD54}" presName="sibTrans" presStyleCnt="0"/>
      <dgm:spPr/>
    </dgm:pt>
    <dgm:pt modelId="{33309520-EFE8-42D7-A97D-8B5449FCEDC8}" type="pres">
      <dgm:prSet presAssocID="{E396D690-3E0E-44CF-B715-486B5E638668}" presName="node" presStyleLbl="node1" presStyleIdx="9" presStyleCnt="11">
        <dgm:presLayoutVars>
          <dgm:bulletEnabled val="1"/>
        </dgm:presLayoutVars>
      </dgm:prSet>
      <dgm:spPr/>
    </dgm:pt>
    <dgm:pt modelId="{FEB4750A-B0A3-43A1-A22B-93F24651CC2C}" type="pres">
      <dgm:prSet presAssocID="{115179FA-D28D-4C56-91E4-569645E6F181}" presName="sibTrans" presStyleCnt="0"/>
      <dgm:spPr/>
    </dgm:pt>
    <dgm:pt modelId="{EF609521-6D6D-4821-8464-B2CE26F6D603}" type="pres">
      <dgm:prSet presAssocID="{14701871-B356-4905-8815-9BB2DC345C39}" presName="node" presStyleLbl="node1" presStyleIdx="10" presStyleCnt="11">
        <dgm:presLayoutVars>
          <dgm:bulletEnabled val="1"/>
        </dgm:presLayoutVars>
      </dgm:prSet>
      <dgm:spPr/>
    </dgm:pt>
  </dgm:ptLst>
  <dgm:cxnLst>
    <dgm:cxn modelId="{80DA0E10-F990-4942-98B6-4EAF7E4B5B47}" srcId="{8427BC51-AB4F-443F-8126-54F342CE596A}" destId="{1C1D7B35-A633-4244-9780-268DDD5A3303}" srcOrd="0" destOrd="0" parTransId="{5CF2967B-92C4-4BD7-BDD3-419E5BBB51C5}" sibTransId="{F7E7112F-1402-4157-A48D-F6B8FDC92E66}"/>
    <dgm:cxn modelId="{7E8BD812-898A-481E-A90F-4C21D4957BF9}" srcId="{4F39EC4F-FD9C-4892-A49E-8872303E9F87}" destId="{81B16E74-1EFA-4FB0-B883-4F39E4682F94}" srcOrd="4" destOrd="0" parTransId="{9DEEB485-D04A-48D3-9A7C-398E0B675278}" sibTransId="{F23106F4-7F7A-4DCD-AB79-F2D952D5A57F}"/>
    <dgm:cxn modelId="{57D2FD19-A3E2-4076-A0A4-FEE81EF78EF5}" type="presOf" srcId="{E5F41154-21C8-4AB1-90C5-67C145FCEFB2}" destId="{EF609521-6D6D-4821-8464-B2CE26F6D603}" srcOrd="0" destOrd="3" presId="urn:microsoft.com/office/officeart/2005/8/layout/hList6"/>
    <dgm:cxn modelId="{DA12F61B-4AB1-4066-A16A-A57FCB3E0F2A}" srcId="{4F39EC4F-FD9C-4892-A49E-8872303E9F87}" destId="{C706674F-E6CA-4570-8AE5-CCE2C90184A5}" srcOrd="7" destOrd="0" parTransId="{E65B513F-2AE0-4A9E-BAB1-6A5227F8E0AA}" sibTransId="{B57A8AB9-632E-47A1-8D96-C3B387B8EB8C}"/>
    <dgm:cxn modelId="{C6B07021-40F1-4190-AEC1-69FC3260F11B}" type="presOf" srcId="{8427BC51-AB4F-443F-8126-54F342CE596A}" destId="{F9F4C95B-509D-4416-B9B8-D2225FA9F286}" srcOrd="0" destOrd="0" presId="urn:microsoft.com/office/officeart/2005/8/layout/hList6"/>
    <dgm:cxn modelId="{2AA6C02F-38F5-4261-A9AE-18B1B40A293D}" srcId="{306DF8A3-4CEB-4CD0-B46E-8C8D5C7E85D1}" destId="{55BE48A5-E92E-4600-80DD-BB22BD6BF4E4}" srcOrd="0" destOrd="0" parTransId="{2E9413B9-CAFA-4476-9D3C-7008C1F4FB4E}" sibTransId="{922D9C09-559A-47D3-B9F0-73E3606BC294}"/>
    <dgm:cxn modelId="{26BD7331-E8EA-474B-95AA-520C0CEAA97C}" type="presOf" srcId="{F90EF0A0-DA63-4CF6-BEAE-2B6DAC9A8A3C}" destId="{3212F404-DFE2-43E3-A48F-93D9541023BC}" srcOrd="0" destOrd="0" presId="urn:microsoft.com/office/officeart/2005/8/layout/hList6"/>
    <dgm:cxn modelId="{4288AD32-A789-4831-B393-426C2F2BE17D}" type="presOf" srcId="{C706674F-E6CA-4570-8AE5-CCE2C90184A5}" destId="{4616B51C-F5AF-4D15-A258-DB6A4789C557}" srcOrd="0" destOrd="0" presId="urn:microsoft.com/office/officeart/2005/8/layout/hList6"/>
    <dgm:cxn modelId="{52FF6D33-FECF-4396-9A4F-8BC20EAA600D}" type="presOf" srcId="{55BE48A5-E92E-4600-80DD-BB22BD6BF4E4}" destId="{E92898EE-A489-45D5-AFC1-1D9F4EF71FD6}" srcOrd="0" destOrd="1" presId="urn:microsoft.com/office/officeart/2005/8/layout/hList6"/>
    <dgm:cxn modelId="{79541234-CCEA-459B-A5FC-91E9CC90F611}" type="presOf" srcId="{4F39EC4F-FD9C-4892-A49E-8872303E9F87}" destId="{63FD497B-22A7-42A5-98FA-62F01D2E3143}" srcOrd="0" destOrd="0" presId="urn:microsoft.com/office/officeart/2005/8/layout/hList6"/>
    <dgm:cxn modelId="{932AB235-8152-4BD9-9B34-F5F208E4FEF2}" srcId="{4F39EC4F-FD9C-4892-A49E-8872303E9F87}" destId="{E396D690-3E0E-44CF-B715-486B5E638668}" srcOrd="9" destOrd="0" parTransId="{129A014F-B548-4DED-8E26-54EB0EDA7074}" sibTransId="{115179FA-D28D-4C56-91E4-569645E6F181}"/>
    <dgm:cxn modelId="{3277E835-FE12-4393-BCEE-C3D0D9F3D3E4}" srcId="{14701871-B356-4905-8815-9BB2DC345C39}" destId="{1DD6C287-A56E-483F-8EF0-732B111A3DB0}" srcOrd="1" destOrd="0" parTransId="{96BA8795-32E9-4616-AF85-A5D87B272874}" sibTransId="{8365E325-52EB-4338-9BC2-D70159E10780}"/>
    <dgm:cxn modelId="{95902941-150E-4D71-AA73-028818F3EC4D}" type="presOf" srcId="{558156F5-04BD-46D4-A19F-E3DD196D23B8}" destId="{F61C619B-68FA-4BDF-BCA7-7B2B90901B02}" srcOrd="0" destOrd="1" presId="urn:microsoft.com/office/officeart/2005/8/layout/hList6"/>
    <dgm:cxn modelId="{18E88245-FC43-40BA-A4D2-3FC5563C2157}" srcId="{4F39EC4F-FD9C-4892-A49E-8872303E9F87}" destId="{0DC44B50-91A8-4DAF-85E7-7803985AFB93}" srcOrd="3" destOrd="0" parTransId="{98B8B3B0-9B75-4B1E-B6EB-D8AD0818A039}" sibTransId="{43ED58B9-C305-45C9-94C3-AE7B71F0CB0A}"/>
    <dgm:cxn modelId="{1B08266B-B18A-4969-AA28-D8860D13A48C}" srcId="{0DC44B50-91A8-4DAF-85E7-7803985AFB93}" destId="{558156F5-04BD-46D4-A19F-E3DD196D23B8}" srcOrd="0" destOrd="0" parTransId="{BBB50AC6-0DBF-4E0A-9327-6E5A8873CF44}" sibTransId="{F0D7D73F-47C6-4C54-9EE9-E742C06971BA}"/>
    <dgm:cxn modelId="{6065996D-DA7E-4136-99FF-371278947F6A}" type="presOf" srcId="{14701871-B356-4905-8815-9BB2DC345C39}" destId="{EF609521-6D6D-4821-8464-B2CE26F6D603}" srcOrd="0" destOrd="0" presId="urn:microsoft.com/office/officeart/2005/8/layout/hList6"/>
    <dgm:cxn modelId="{DBF1454E-36CF-449F-B970-43A7D526C9EE}" type="presOf" srcId="{418486A0-EA1F-437A-8F26-267E41465796}" destId="{EF609521-6D6D-4821-8464-B2CE26F6D603}" srcOrd="0" destOrd="4" presId="urn:microsoft.com/office/officeart/2005/8/layout/hList6"/>
    <dgm:cxn modelId="{E8C24A6E-A733-40D8-8074-42418A257BAF}" type="presOf" srcId="{3C44519D-ED37-4483-880E-F31FCDA22242}" destId="{F8ECBBDB-1648-40D0-86C1-35900B7431D9}" srcOrd="0" destOrd="0" presId="urn:microsoft.com/office/officeart/2005/8/layout/hList6"/>
    <dgm:cxn modelId="{DA389658-A8FC-4200-9401-C2243D0E8D1B}" type="presOf" srcId="{E396D690-3E0E-44CF-B715-486B5E638668}" destId="{33309520-EFE8-42D7-A97D-8B5449FCEDC8}" srcOrd="0" destOrd="0" presId="urn:microsoft.com/office/officeart/2005/8/layout/hList6"/>
    <dgm:cxn modelId="{9022F479-F597-41B2-BCD1-FC270E63EA4A}" srcId="{4F39EC4F-FD9C-4892-A49E-8872303E9F87}" destId="{F90EF0A0-DA63-4CF6-BEAE-2B6DAC9A8A3C}" srcOrd="8" destOrd="0" parTransId="{1AA5157B-814D-4D46-86F7-61EFE927EFCA}" sibTransId="{FBA0EE63-CC35-48CF-A09E-7D38F0D9CD54}"/>
    <dgm:cxn modelId="{55FB4082-B01E-424E-A8DB-7E4834A7CDDA}" srcId="{4F39EC4F-FD9C-4892-A49E-8872303E9F87}" destId="{285D95B6-7E76-4C8A-AB16-B48A72A5FA9D}" srcOrd="6" destOrd="0" parTransId="{A0AC4F6F-5DA0-43DE-BA78-6D7BD46E60F8}" sibTransId="{02BC9A82-906C-4E52-85CE-230B94A16899}"/>
    <dgm:cxn modelId="{EE959A87-3FD9-471D-B24C-9AF8906C3D7C}" srcId="{4F39EC4F-FD9C-4892-A49E-8872303E9F87}" destId="{A1D16AEF-969E-4743-B467-AFB7578CC936}" srcOrd="5" destOrd="0" parTransId="{F42C549C-7D85-44D5-8E0F-3802EF575283}" sibTransId="{013BA1FA-6529-4333-BC70-E4043BBC789F}"/>
    <dgm:cxn modelId="{DD34128C-174A-4F01-9A84-BAA1F71FAD5E}" srcId="{14701871-B356-4905-8815-9BB2DC345C39}" destId="{418486A0-EA1F-437A-8F26-267E41465796}" srcOrd="3" destOrd="0" parTransId="{64CADD8C-5D22-46EE-819B-4E4B62D15B13}" sibTransId="{5C2AB67E-7FEE-4EFF-BDE8-4EA81EE52A67}"/>
    <dgm:cxn modelId="{94E3DB8D-647E-4413-A558-797C4236F8DB}" srcId="{4F39EC4F-FD9C-4892-A49E-8872303E9F87}" destId="{306DF8A3-4CEB-4CD0-B46E-8C8D5C7E85D1}" srcOrd="0" destOrd="0" parTransId="{277A7C14-CA23-4822-A263-F1776A3697D2}" sibTransId="{925B809E-FFC0-4471-92E3-C43DEC0A2842}"/>
    <dgm:cxn modelId="{E5F7439D-BBA7-4F56-B8C4-E6FFD790DAA1}" srcId="{4F39EC4F-FD9C-4892-A49E-8872303E9F87}" destId="{3C44519D-ED37-4483-880E-F31FCDA22242}" srcOrd="2" destOrd="0" parTransId="{C83BDD42-1E18-4F92-9FFE-16310611DB78}" sibTransId="{209D081F-4E09-4A43-A7BC-2CFB43860707}"/>
    <dgm:cxn modelId="{94A7D59F-3FFD-4348-A3C7-96413765F788}" type="presOf" srcId="{1C1D7B35-A633-4244-9780-268DDD5A3303}" destId="{F9F4C95B-509D-4416-B9B8-D2225FA9F286}" srcOrd="0" destOrd="1" presId="urn:microsoft.com/office/officeart/2005/8/layout/hList6"/>
    <dgm:cxn modelId="{53CF15A6-0854-42E0-BB6D-4E5E5471FCD8}" type="presOf" srcId="{285D95B6-7E76-4C8A-AB16-B48A72A5FA9D}" destId="{5CBB3D11-6689-4558-89FF-A325E0468CB8}" srcOrd="0" destOrd="0" presId="urn:microsoft.com/office/officeart/2005/8/layout/hList6"/>
    <dgm:cxn modelId="{37CB7DA9-293A-4F74-89BB-9AA80CE8EDE8}" type="presOf" srcId="{81B16E74-1EFA-4FB0-B883-4F39E4682F94}" destId="{25B0B4D2-0670-4512-96DC-F7E73833F16E}" srcOrd="0" destOrd="0" presId="urn:microsoft.com/office/officeart/2005/8/layout/hList6"/>
    <dgm:cxn modelId="{942EF4CB-C439-45E6-B49A-6C79B2DA68F3}" type="presOf" srcId="{A1D16AEF-969E-4743-B467-AFB7578CC936}" destId="{078CD03C-ADDF-495D-A279-AC1C4ACD725F}" srcOrd="0" destOrd="0" presId="urn:microsoft.com/office/officeart/2005/8/layout/hList6"/>
    <dgm:cxn modelId="{739EDDD3-6E5E-4B2E-A63E-04928D5CE9EE}" type="presOf" srcId="{1DD6C287-A56E-483F-8EF0-732B111A3DB0}" destId="{EF609521-6D6D-4821-8464-B2CE26F6D603}" srcOrd="0" destOrd="2" presId="urn:microsoft.com/office/officeart/2005/8/layout/hList6"/>
    <dgm:cxn modelId="{E6904CD4-6FA3-47AC-A5E0-51A2609A4E41}" srcId="{14701871-B356-4905-8815-9BB2DC345C39}" destId="{E5F41154-21C8-4AB1-90C5-67C145FCEFB2}" srcOrd="2" destOrd="0" parTransId="{58F4FF5B-A510-48B4-9A5F-505CE1DD45BA}" sibTransId="{1CB8D9BB-854E-454E-A06B-6DC5B7CC6CC2}"/>
    <dgm:cxn modelId="{C910EEE3-EB8C-42BB-AFA7-E69E8FF73B80}" srcId="{4F39EC4F-FD9C-4892-A49E-8872303E9F87}" destId="{14701871-B356-4905-8815-9BB2DC345C39}" srcOrd="10" destOrd="0" parTransId="{5A4DE498-31E0-4659-84B9-A379D218923C}" sibTransId="{EF64F70C-D559-4611-9DF8-0182B45E9842}"/>
    <dgm:cxn modelId="{E18B7BEA-A293-4237-B046-C09204B785C1}" type="presOf" srcId="{6C60CCB8-928F-4C8C-8942-B209CA5B797F}" destId="{EF609521-6D6D-4821-8464-B2CE26F6D603}" srcOrd="0" destOrd="1" presId="urn:microsoft.com/office/officeart/2005/8/layout/hList6"/>
    <dgm:cxn modelId="{5AF8B8EC-3D05-447A-9CA5-8EF865C01CBC}" srcId="{14701871-B356-4905-8815-9BB2DC345C39}" destId="{6C60CCB8-928F-4C8C-8942-B209CA5B797F}" srcOrd="0" destOrd="0" parTransId="{6D7987E6-6AC0-4CF1-A969-F73296F00D22}" sibTransId="{FFC66740-2192-4DB1-90CB-47CDBE11393B}"/>
    <dgm:cxn modelId="{76F26BEE-2953-456A-AE07-FF32134ACA53}" srcId="{4F39EC4F-FD9C-4892-A49E-8872303E9F87}" destId="{8427BC51-AB4F-443F-8126-54F342CE596A}" srcOrd="1" destOrd="0" parTransId="{CE7CE7EB-1C31-4229-A361-013BBDD63853}" sibTransId="{E0175D4A-8F44-4F8F-92B5-79ED3A4E1CF1}"/>
    <dgm:cxn modelId="{5FDBD0F3-89CA-4BA4-863B-59FD352A8DAD}" type="presOf" srcId="{0DC44B50-91A8-4DAF-85E7-7803985AFB93}" destId="{F61C619B-68FA-4BDF-BCA7-7B2B90901B02}" srcOrd="0" destOrd="0" presId="urn:microsoft.com/office/officeart/2005/8/layout/hList6"/>
    <dgm:cxn modelId="{F83ABDFF-902C-4D5B-96A0-F8BFB896B29C}" type="presOf" srcId="{306DF8A3-4CEB-4CD0-B46E-8C8D5C7E85D1}" destId="{E92898EE-A489-45D5-AFC1-1D9F4EF71FD6}" srcOrd="0" destOrd="0" presId="urn:microsoft.com/office/officeart/2005/8/layout/hList6"/>
    <dgm:cxn modelId="{27E07E7B-4A2C-459B-9D1F-4245BBCEEDC1}" type="presParOf" srcId="{63FD497B-22A7-42A5-98FA-62F01D2E3143}" destId="{E92898EE-A489-45D5-AFC1-1D9F4EF71FD6}" srcOrd="0" destOrd="0" presId="urn:microsoft.com/office/officeart/2005/8/layout/hList6"/>
    <dgm:cxn modelId="{26FC2331-226E-453E-BB78-211F58F6CEF9}" type="presParOf" srcId="{63FD497B-22A7-42A5-98FA-62F01D2E3143}" destId="{1687956E-6520-4E0E-9A46-AF3C225A576C}" srcOrd="1" destOrd="0" presId="urn:microsoft.com/office/officeart/2005/8/layout/hList6"/>
    <dgm:cxn modelId="{0E9ED48B-B0E3-4EA2-AF40-9B5DB44AF352}" type="presParOf" srcId="{63FD497B-22A7-42A5-98FA-62F01D2E3143}" destId="{F9F4C95B-509D-4416-B9B8-D2225FA9F286}" srcOrd="2" destOrd="0" presId="urn:microsoft.com/office/officeart/2005/8/layout/hList6"/>
    <dgm:cxn modelId="{4C03D766-7878-4047-A1F4-DA6D8A8FD8B4}" type="presParOf" srcId="{63FD497B-22A7-42A5-98FA-62F01D2E3143}" destId="{BAA1A345-6969-4458-9EF8-4FDDE1B2BCD1}" srcOrd="3" destOrd="0" presId="urn:microsoft.com/office/officeart/2005/8/layout/hList6"/>
    <dgm:cxn modelId="{F0DCE6AE-CDD0-4E45-802A-FCD2D5E44E0B}" type="presParOf" srcId="{63FD497B-22A7-42A5-98FA-62F01D2E3143}" destId="{F8ECBBDB-1648-40D0-86C1-35900B7431D9}" srcOrd="4" destOrd="0" presId="urn:microsoft.com/office/officeart/2005/8/layout/hList6"/>
    <dgm:cxn modelId="{25849C81-15EE-497B-85E9-B79545CA18EE}" type="presParOf" srcId="{63FD497B-22A7-42A5-98FA-62F01D2E3143}" destId="{48C93B03-8645-421E-A0C2-E28A5AE596EA}" srcOrd="5" destOrd="0" presId="urn:microsoft.com/office/officeart/2005/8/layout/hList6"/>
    <dgm:cxn modelId="{EBDF4C04-CE14-4991-9049-C547A81BDED8}" type="presParOf" srcId="{63FD497B-22A7-42A5-98FA-62F01D2E3143}" destId="{F61C619B-68FA-4BDF-BCA7-7B2B90901B02}" srcOrd="6" destOrd="0" presId="urn:microsoft.com/office/officeart/2005/8/layout/hList6"/>
    <dgm:cxn modelId="{DA46471F-D3D4-430D-BC7A-928C4ACE39B4}" type="presParOf" srcId="{63FD497B-22A7-42A5-98FA-62F01D2E3143}" destId="{9C9747AD-3CF3-4C45-94A5-78F3B7AF68E5}" srcOrd="7" destOrd="0" presId="urn:microsoft.com/office/officeart/2005/8/layout/hList6"/>
    <dgm:cxn modelId="{74F6395C-60FC-4279-A0E9-D018B0570B50}" type="presParOf" srcId="{63FD497B-22A7-42A5-98FA-62F01D2E3143}" destId="{25B0B4D2-0670-4512-96DC-F7E73833F16E}" srcOrd="8" destOrd="0" presId="urn:microsoft.com/office/officeart/2005/8/layout/hList6"/>
    <dgm:cxn modelId="{4D10A462-ED85-4D7A-9A34-773AFB0B0595}" type="presParOf" srcId="{63FD497B-22A7-42A5-98FA-62F01D2E3143}" destId="{74C21FB8-BD30-40EE-95DA-482C233D9778}" srcOrd="9" destOrd="0" presId="urn:microsoft.com/office/officeart/2005/8/layout/hList6"/>
    <dgm:cxn modelId="{DC5DBC69-4FAA-4D9C-9EC5-47CED998D437}" type="presParOf" srcId="{63FD497B-22A7-42A5-98FA-62F01D2E3143}" destId="{078CD03C-ADDF-495D-A279-AC1C4ACD725F}" srcOrd="10" destOrd="0" presId="urn:microsoft.com/office/officeart/2005/8/layout/hList6"/>
    <dgm:cxn modelId="{19F8DC2E-0DA9-41B3-A42B-43DD72041C6C}" type="presParOf" srcId="{63FD497B-22A7-42A5-98FA-62F01D2E3143}" destId="{37C61DA2-B992-48EF-B4F4-E35D22D60B31}" srcOrd="11" destOrd="0" presId="urn:microsoft.com/office/officeart/2005/8/layout/hList6"/>
    <dgm:cxn modelId="{0D21619E-6F6E-4D6B-8379-7B4BEC4B3FF8}" type="presParOf" srcId="{63FD497B-22A7-42A5-98FA-62F01D2E3143}" destId="{5CBB3D11-6689-4558-89FF-A325E0468CB8}" srcOrd="12" destOrd="0" presId="urn:microsoft.com/office/officeart/2005/8/layout/hList6"/>
    <dgm:cxn modelId="{A6BA20F9-2F63-485F-8A7A-C90344386F5E}" type="presParOf" srcId="{63FD497B-22A7-42A5-98FA-62F01D2E3143}" destId="{017A5866-009C-49DD-8F9A-2BC62F070545}" srcOrd="13" destOrd="0" presId="urn:microsoft.com/office/officeart/2005/8/layout/hList6"/>
    <dgm:cxn modelId="{A520D6EC-7C04-4D89-A196-A1D7F5BBD727}" type="presParOf" srcId="{63FD497B-22A7-42A5-98FA-62F01D2E3143}" destId="{4616B51C-F5AF-4D15-A258-DB6A4789C557}" srcOrd="14" destOrd="0" presId="urn:microsoft.com/office/officeart/2005/8/layout/hList6"/>
    <dgm:cxn modelId="{276C98EE-B24F-43BF-956D-93BEFEADF57C}" type="presParOf" srcId="{63FD497B-22A7-42A5-98FA-62F01D2E3143}" destId="{FBFD7DE7-8E57-403A-9902-94D86D74904B}" srcOrd="15" destOrd="0" presId="urn:microsoft.com/office/officeart/2005/8/layout/hList6"/>
    <dgm:cxn modelId="{D1F3EEF6-B316-40C8-A90F-8C4D7655CD48}" type="presParOf" srcId="{63FD497B-22A7-42A5-98FA-62F01D2E3143}" destId="{3212F404-DFE2-43E3-A48F-93D9541023BC}" srcOrd="16" destOrd="0" presId="urn:microsoft.com/office/officeart/2005/8/layout/hList6"/>
    <dgm:cxn modelId="{3E227BB8-EBB1-41A6-B5B2-CAF0C1696825}" type="presParOf" srcId="{63FD497B-22A7-42A5-98FA-62F01D2E3143}" destId="{07622952-BB17-4A3A-9DD7-EE4619A7C01B}" srcOrd="17" destOrd="0" presId="urn:microsoft.com/office/officeart/2005/8/layout/hList6"/>
    <dgm:cxn modelId="{245EEFAE-F3BB-4527-A249-A8189517ABC8}" type="presParOf" srcId="{63FD497B-22A7-42A5-98FA-62F01D2E3143}" destId="{33309520-EFE8-42D7-A97D-8B5449FCEDC8}" srcOrd="18" destOrd="0" presId="urn:microsoft.com/office/officeart/2005/8/layout/hList6"/>
    <dgm:cxn modelId="{2175D413-34CD-407B-938E-22D5338049D0}" type="presParOf" srcId="{63FD497B-22A7-42A5-98FA-62F01D2E3143}" destId="{FEB4750A-B0A3-43A1-A22B-93F24651CC2C}" srcOrd="19" destOrd="0" presId="urn:microsoft.com/office/officeart/2005/8/layout/hList6"/>
    <dgm:cxn modelId="{7D66A4FE-AC11-4904-B848-A5858FCA9FF3}" type="presParOf" srcId="{63FD497B-22A7-42A5-98FA-62F01D2E3143}" destId="{EF609521-6D6D-4821-8464-B2CE26F6D603}" srcOrd="20" destOrd="0" presId="urn:microsoft.com/office/officeart/2005/8/layout/hList6"/>
  </dgm:cxnLst>
  <dgm:bg/>
  <dgm:whole/>
  <dgm:extLst>
    <a:ext uri="http://schemas.microsoft.com/office/drawing/2008/diagram">
      <dsp:dataModelExt xmlns:dsp="http://schemas.microsoft.com/office/drawing/2008/diagram" relId="rId14" minVer="http://schemas.openxmlformats.org/drawingml/2006/diagram"/>
    </a:ext>
  </dgm:extLst>
</dgm:dataModel>
</file>

<file path=xl/diagrams/data2.xml><?xml version="1.0" encoding="utf-8"?>
<dgm:dataModel xmlns:dgm="http://schemas.openxmlformats.org/drawingml/2006/diagram" xmlns:a="http://schemas.openxmlformats.org/drawingml/2006/main">
  <dgm:ptLst>
    <dgm:pt modelId="{C8C1CB6A-F260-4567-B785-4DF19608FE69}" type="doc">
      <dgm:prSet loTypeId="urn:microsoft.com/office/officeart/2008/layout/IncreasingCircleProcess" loCatId="list" qsTypeId="urn:microsoft.com/office/officeart/2005/8/quickstyle/simple1" qsCatId="simple" csTypeId="urn:microsoft.com/office/officeart/2005/8/colors/accent4_1" csCatId="accent4" phldr="1"/>
      <dgm:spPr/>
      <dgm:t>
        <a:bodyPr/>
        <a:lstStyle/>
        <a:p>
          <a:endParaRPr lang="en-AU"/>
        </a:p>
      </dgm:t>
    </dgm:pt>
    <dgm:pt modelId="{6A6B7227-27B9-47E5-84AA-C5A92DE7B52D}">
      <dgm:prSet phldrT="[Text]" custT="1"/>
      <dgm:spPr/>
      <dgm:t>
        <a:bodyPr/>
        <a:lstStyle/>
        <a:p>
          <a:r>
            <a:rPr lang="en-AU" sz="2800"/>
            <a:t>Availability</a:t>
          </a:r>
        </a:p>
      </dgm:t>
    </dgm:pt>
    <dgm:pt modelId="{FD70CC8D-A7B8-4696-8670-12BC573769AE}" type="parTrans" cxnId="{35A870DC-90F4-4CBC-915D-8F433289F803}">
      <dgm:prSet/>
      <dgm:spPr/>
      <dgm:t>
        <a:bodyPr/>
        <a:lstStyle/>
        <a:p>
          <a:endParaRPr lang="en-AU"/>
        </a:p>
      </dgm:t>
    </dgm:pt>
    <dgm:pt modelId="{13A54D5D-4B11-4C9F-AE64-7837221FCD81}" type="sibTrans" cxnId="{35A870DC-90F4-4CBC-915D-8F433289F803}">
      <dgm:prSet/>
      <dgm:spPr/>
      <dgm:t>
        <a:bodyPr/>
        <a:lstStyle/>
        <a:p>
          <a:endParaRPr lang="en-AU"/>
        </a:p>
      </dgm:t>
    </dgm:pt>
    <dgm:pt modelId="{869DB8B3-2635-44F7-A7A5-8E3EDFE113AC}">
      <dgm:prSet phldrT="[Text]"/>
      <dgm:spPr/>
      <dgm:t>
        <a:bodyPr/>
        <a:lstStyle/>
        <a:p>
          <a:r>
            <a:rPr lang="en-AU" u="sng"/>
            <a:t>Tier 1-4 Applications</a:t>
          </a:r>
        </a:p>
      </dgm:t>
    </dgm:pt>
    <dgm:pt modelId="{85CFD57E-78EC-4BB5-8ED0-BA47B11F1ED8}" type="parTrans" cxnId="{4719A3AA-28F6-4C75-9914-5BC6E8ED61FF}">
      <dgm:prSet/>
      <dgm:spPr/>
      <dgm:t>
        <a:bodyPr/>
        <a:lstStyle/>
        <a:p>
          <a:endParaRPr lang="en-AU"/>
        </a:p>
      </dgm:t>
    </dgm:pt>
    <dgm:pt modelId="{46143C60-359E-4F2E-BF84-5888478D9583}" type="sibTrans" cxnId="{4719A3AA-28F6-4C75-9914-5BC6E8ED61FF}">
      <dgm:prSet/>
      <dgm:spPr/>
      <dgm:t>
        <a:bodyPr/>
        <a:lstStyle/>
        <a:p>
          <a:endParaRPr lang="en-AU"/>
        </a:p>
      </dgm:t>
    </dgm:pt>
    <dgm:pt modelId="{FB756C36-A832-4216-85D2-E556599268CF}">
      <dgm:prSet phldrT="[Text]"/>
      <dgm:spPr/>
      <dgm:t>
        <a:bodyPr/>
        <a:lstStyle/>
        <a:p>
          <a:r>
            <a:rPr lang="en-AU"/>
            <a:t>Implement GitHub repository resilience:</a:t>
          </a:r>
        </a:p>
      </dgm:t>
    </dgm:pt>
    <dgm:pt modelId="{4F6A2403-B987-4E45-AB1B-4172C2DC99FB}" type="parTrans" cxnId="{2FD2C489-E10C-417D-A28E-C3AE5596ADF9}">
      <dgm:prSet/>
      <dgm:spPr/>
      <dgm:t>
        <a:bodyPr/>
        <a:lstStyle/>
        <a:p>
          <a:endParaRPr lang="en-AU"/>
        </a:p>
      </dgm:t>
    </dgm:pt>
    <dgm:pt modelId="{0E4B09CE-6E0E-40B1-81B1-88911F35071A}" type="sibTrans" cxnId="{2FD2C489-E10C-417D-A28E-C3AE5596ADF9}">
      <dgm:prSet/>
      <dgm:spPr/>
      <dgm:t>
        <a:bodyPr/>
        <a:lstStyle/>
        <a:p>
          <a:endParaRPr lang="en-AU"/>
        </a:p>
      </dgm:t>
    </dgm:pt>
    <dgm:pt modelId="{EC6F2235-EC0D-44DA-AC17-3198D62E2082}">
      <dgm:prSet custT="1"/>
      <dgm:spPr/>
      <dgm:t>
        <a:bodyPr/>
        <a:lstStyle/>
        <a:p>
          <a:r>
            <a:rPr lang="en-AU" sz="2800"/>
            <a:t>Recovery</a:t>
          </a:r>
        </a:p>
      </dgm:t>
    </dgm:pt>
    <dgm:pt modelId="{F727C9CA-B463-4D7E-8019-E82851E01DD9}" type="parTrans" cxnId="{0BBFF2A8-237B-4F8A-BE2B-5200605020A0}">
      <dgm:prSet/>
      <dgm:spPr/>
      <dgm:t>
        <a:bodyPr/>
        <a:lstStyle/>
        <a:p>
          <a:endParaRPr lang="en-AU"/>
        </a:p>
      </dgm:t>
    </dgm:pt>
    <dgm:pt modelId="{97D28F67-86FC-45CC-91E6-03ACA41C5642}" type="sibTrans" cxnId="{0BBFF2A8-237B-4F8A-BE2B-5200605020A0}">
      <dgm:prSet/>
      <dgm:spPr/>
      <dgm:t>
        <a:bodyPr/>
        <a:lstStyle/>
        <a:p>
          <a:endParaRPr lang="en-AU"/>
        </a:p>
      </dgm:t>
    </dgm:pt>
    <dgm:pt modelId="{A29B5CFA-83A8-4C60-AF37-690AB32C0914}">
      <dgm:prSet/>
      <dgm:spPr/>
      <dgm:t>
        <a:bodyPr/>
        <a:lstStyle/>
        <a:p>
          <a:r>
            <a:rPr lang="en-AU"/>
            <a:t>Restrict and control access to the repository by ensuring that only authorized persons have access to it.</a:t>
          </a:r>
        </a:p>
      </dgm:t>
    </dgm:pt>
    <dgm:pt modelId="{D8895210-10D9-49A7-B795-4F00E2E8DCB3}" type="parTrans" cxnId="{9C2E6B39-1C29-4930-AC07-E44EF2EF0EB1}">
      <dgm:prSet/>
      <dgm:spPr/>
      <dgm:t>
        <a:bodyPr/>
        <a:lstStyle/>
        <a:p>
          <a:endParaRPr lang="en-AU"/>
        </a:p>
      </dgm:t>
    </dgm:pt>
    <dgm:pt modelId="{23AF5065-DC5A-4846-AF10-B26B9110EAF9}" type="sibTrans" cxnId="{9C2E6B39-1C29-4930-AC07-E44EF2EF0EB1}">
      <dgm:prSet/>
      <dgm:spPr/>
      <dgm:t>
        <a:bodyPr/>
        <a:lstStyle/>
        <a:p>
          <a:endParaRPr lang="en-AU"/>
        </a:p>
      </dgm:t>
    </dgm:pt>
    <dgm:pt modelId="{DFE9E812-C59A-4FE0-81FF-FBC3F82675C4}">
      <dgm:prSet/>
      <dgm:spPr/>
      <dgm:t>
        <a:bodyPr/>
        <a:lstStyle/>
        <a:p>
          <a:r>
            <a:rPr lang="en-AU"/>
            <a:t>Protect code branches by setting up branch protection rules.</a:t>
          </a:r>
        </a:p>
      </dgm:t>
    </dgm:pt>
    <dgm:pt modelId="{41DC2DF2-EF91-45FB-A746-AC2928812F92}" type="parTrans" cxnId="{F0265C28-FFC8-4EE3-9DD6-4E292177278F}">
      <dgm:prSet/>
      <dgm:spPr/>
      <dgm:t>
        <a:bodyPr/>
        <a:lstStyle/>
        <a:p>
          <a:endParaRPr lang="en-AU"/>
        </a:p>
      </dgm:t>
    </dgm:pt>
    <dgm:pt modelId="{F66F1AC9-7559-475D-9470-CE544878B160}" type="sibTrans" cxnId="{F0265C28-FFC8-4EE3-9DD6-4E292177278F}">
      <dgm:prSet/>
      <dgm:spPr/>
      <dgm:t>
        <a:bodyPr/>
        <a:lstStyle/>
        <a:p>
          <a:endParaRPr lang="en-AU"/>
        </a:p>
      </dgm:t>
    </dgm:pt>
    <dgm:pt modelId="{EC05C4D0-176A-48AF-B028-37652D49CCC6}">
      <dgm:prSet/>
      <dgm:spPr/>
      <dgm:t>
        <a:bodyPr/>
        <a:lstStyle/>
        <a:p>
          <a:r>
            <a:rPr lang="en-AU"/>
            <a:t> Conduct a background check on employees (HR Decision).</a:t>
          </a:r>
        </a:p>
      </dgm:t>
    </dgm:pt>
    <dgm:pt modelId="{42EBF2D2-A320-47D2-B476-8C302D08A342}" type="parTrans" cxnId="{6C2AB35D-18CD-4AF4-A9BA-1F255177F7AD}">
      <dgm:prSet/>
      <dgm:spPr/>
      <dgm:t>
        <a:bodyPr/>
        <a:lstStyle/>
        <a:p>
          <a:endParaRPr lang="en-AU"/>
        </a:p>
      </dgm:t>
    </dgm:pt>
    <dgm:pt modelId="{E88A1BA3-7F01-4F2D-A4D5-4C596D3D2B92}" type="sibTrans" cxnId="{6C2AB35D-18CD-4AF4-A9BA-1F255177F7AD}">
      <dgm:prSet/>
      <dgm:spPr/>
      <dgm:t>
        <a:bodyPr/>
        <a:lstStyle/>
        <a:p>
          <a:endParaRPr lang="en-AU"/>
        </a:p>
      </dgm:t>
    </dgm:pt>
    <dgm:pt modelId="{39EC0DED-2953-4E6A-B29D-9C27C55554C2}">
      <dgm:prSet/>
      <dgm:spPr/>
      <dgm:t>
        <a:bodyPr/>
        <a:lstStyle/>
        <a:p>
          <a:r>
            <a:rPr lang="en-AU"/>
            <a:t>  • Use security control tools to scan for vulnerabilities.</a:t>
          </a:r>
        </a:p>
      </dgm:t>
    </dgm:pt>
    <dgm:pt modelId="{852659D1-7491-4D6B-8A2D-12AE3BE801A3}" type="parTrans" cxnId="{CCBD19DA-E40E-4A01-8A28-37E03C726AF7}">
      <dgm:prSet/>
      <dgm:spPr/>
      <dgm:t>
        <a:bodyPr/>
        <a:lstStyle/>
        <a:p>
          <a:endParaRPr lang="en-AU"/>
        </a:p>
      </dgm:t>
    </dgm:pt>
    <dgm:pt modelId="{63EDF439-A014-4CBF-B498-40A5D6744882}" type="sibTrans" cxnId="{CCBD19DA-E40E-4A01-8A28-37E03C726AF7}">
      <dgm:prSet/>
      <dgm:spPr/>
      <dgm:t>
        <a:bodyPr/>
        <a:lstStyle/>
        <a:p>
          <a:endParaRPr lang="en-AU"/>
        </a:p>
      </dgm:t>
    </dgm:pt>
    <dgm:pt modelId="{9A4552B1-C30A-4404-95AC-5F83706481FD}">
      <dgm:prSet/>
      <dgm:spPr/>
      <dgm:t>
        <a:bodyPr/>
        <a:lstStyle/>
        <a:p>
          <a:r>
            <a:rPr lang="en-AU"/>
            <a:t> Be careful of forking.</a:t>
          </a:r>
        </a:p>
      </dgm:t>
    </dgm:pt>
    <dgm:pt modelId="{11FB6623-5326-4FAE-8FD6-2CE1018258AA}" type="parTrans" cxnId="{27DC6E99-4EFB-4C36-9BA8-1F5B9C9454B0}">
      <dgm:prSet/>
      <dgm:spPr/>
      <dgm:t>
        <a:bodyPr/>
        <a:lstStyle/>
        <a:p>
          <a:endParaRPr lang="en-AU"/>
        </a:p>
      </dgm:t>
    </dgm:pt>
    <dgm:pt modelId="{DCE6B23F-39AB-4157-826C-B6277E25E6B8}" type="sibTrans" cxnId="{27DC6E99-4EFB-4C36-9BA8-1F5B9C9454B0}">
      <dgm:prSet/>
      <dgm:spPr/>
      <dgm:t>
        <a:bodyPr/>
        <a:lstStyle/>
        <a:p>
          <a:endParaRPr lang="en-AU"/>
        </a:p>
      </dgm:t>
    </dgm:pt>
    <dgm:pt modelId="{B24E0B1E-6B41-414F-ABFE-C694F78D1504}">
      <dgm:prSet/>
      <dgm:spPr/>
      <dgm:t>
        <a:bodyPr/>
        <a:lstStyle/>
        <a:p>
          <a:r>
            <a:rPr lang="en-AU"/>
            <a:t> Secure repository by enabling CodeQL.</a:t>
          </a:r>
        </a:p>
      </dgm:t>
    </dgm:pt>
    <dgm:pt modelId="{4887F90E-A22C-4EC3-B352-FA2BF54FC9CE}" type="parTrans" cxnId="{9B8339C8-91B6-4677-9685-56254659F5FE}">
      <dgm:prSet/>
      <dgm:spPr/>
      <dgm:t>
        <a:bodyPr/>
        <a:lstStyle/>
        <a:p>
          <a:endParaRPr lang="en-AU"/>
        </a:p>
      </dgm:t>
    </dgm:pt>
    <dgm:pt modelId="{DD5B5162-1526-471E-8D74-9ED1800ED3C0}" type="sibTrans" cxnId="{9B8339C8-91B6-4677-9685-56254659F5FE}">
      <dgm:prSet/>
      <dgm:spPr/>
      <dgm:t>
        <a:bodyPr/>
        <a:lstStyle/>
        <a:p>
          <a:endParaRPr lang="en-AU"/>
        </a:p>
      </dgm:t>
    </dgm:pt>
    <dgm:pt modelId="{5D33AF20-63B5-40B0-B559-2511DC29B54D}">
      <dgm:prSet/>
      <dgm:spPr/>
      <dgm:t>
        <a:bodyPr/>
        <a:lstStyle/>
        <a:p>
          <a:r>
            <a:rPr lang="en-AU"/>
            <a:t> Review default configuration settings for the repository. </a:t>
          </a:r>
        </a:p>
      </dgm:t>
    </dgm:pt>
    <dgm:pt modelId="{C6218B8E-522F-49B5-A627-849786848E43}" type="parTrans" cxnId="{01747D48-13E3-47E3-AAFE-7C111E6BAA84}">
      <dgm:prSet/>
      <dgm:spPr/>
      <dgm:t>
        <a:bodyPr/>
        <a:lstStyle/>
        <a:p>
          <a:endParaRPr lang="en-AU"/>
        </a:p>
      </dgm:t>
    </dgm:pt>
    <dgm:pt modelId="{27AC0B5D-E797-4333-8F98-D22961925706}" type="sibTrans" cxnId="{01747D48-13E3-47E3-AAFE-7C111E6BAA84}">
      <dgm:prSet/>
      <dgm:spPr/>
      <dgm:t>
        <a:bodyPr/>
        <a:lstStyle/>
        <a:p>
          <a:endParaRPr lang="en-AU"/>
        </a:p>
      </dgm:t>
    </dgm:pt>
    <dgm:pt modelId="{8193985B-381E-4049-8042-EFA2DCF7BAC8}">
      <dgm:prSet/>
      <dgm:spPr/>
      <dgm:t>
        <a:bodyPr/>
        <a:lstStyle/>
        <a:p>
          <a:r>
            <a:rPr lang="en-AU"/>
            <a:t> Enforce repository management policies in the enterprise</a:t>
          </a:r>
        </a:p>
      </dgm:t>
    </dgm:pt>
    <dgm:pt modelId="{E8670A49-14A0-4BDF-BB22-4316DCB57D84}" type="parTrans" cxnId="{59BFFBDB-35C4-4C39-BF10-980EC9C17B45}">
      <dgm:prSet/>
      <dgm:spPr/>
      <dgm:t>
        <a:bodyPr/>
        <a:lstStyle/>
        <a:p>
          <a:endParaRPr lang="en-AU"/>
        </a:p>
      </dgm:t>
    </dgm:pt>
    <dgm:pt modelId="{DF7FE6EA-A49D-420E-8EA9-2AA50F069011}" type="sibTrans" cxnId="{59BFFBDB-35C4-4C39-BF10-980EC9C17B45}">
      <dgm:prSet/>
      <dgm:spPr/>
      <dgm:t>
        <a:bodyPr/>
        <a:lstStyle/>
        <a:p>
          <a:endParaRPr lang="en-AU"/>
        </a:p>
      </dgm:t>
    </dgm:pt>
    <dgm:pt modelId="{6E5E56CE-97AF-4848-B58D-26E338778112}">
      <dgm:prSet/>
      <dgm:spPr/>
      <dgm:t>
        <a:bodyPr/>
        <a:lstStyle/>
        <a:p>
          <a:r>
            <a:rPr lang="en-AU"/>
            <a:t>GitHub Actions provides a number of features to help build resilient pipelines:</a:t>
          </a:r>
        </a:p>
      </dgm:t>
    </dgm:pt>
    <dgm:pt modelId="{49B46EE5-C44A-49C6-B9DC-0D8E9DA12592}" type="parTrans" cxnId="{1106A2B1-3B65-4558-AD17-F5862F9F3046}">
      <dgm:prSet/>
      <dgm:spPr/>
      <dgm:t>
        <a:bodyPr/>
        <a:lstStyle/>
        <a:p>
          <a:endParaRPr lang="en-AU"/>
        </a:p>
      </dgm:t>
    </dgm:pt>
    <dgm:pt modelId="{0371665E-7169-43CC-818B-F193B46ADC81}" type="sibTrans" cxnId="{1106A2B1-3B65-4558-AD17-F5862F9F3046}">
      <dgm:prSet/>
      <dgm:spPr/>
      <dgm:t>
        <a:bodyPr/>
        <a:lstStyle/>
        <a:p>
          <a:endParaRPr lang="en-AU"/>
        </a:p>
      </dgm:t>
    </dgm:pt>
    <dgm:pt modelId="{B591ED4D-69D1-4760-B358-148EB6763954}">
      <dgm:prSet/>
      <dgm:spPr/>
      <dgm:t>
        <a:bodyPr/>
        <a:lstStyle/>
        <a:p>
          <a:r>
            <a:rPr lang="en-AU"/>
            <a:t>  Use retry policies to automatically retry failed jobs or steps in the pipeline. </a:t>
          </a:r>
        </a:p>
      </dgm:t>
    </dgm:pt>
    <dgm:pt modelId="{C06B8B9F-5B80-403A-B3C2-D79A6F448C34}" type="parTrans" cxnId="{577C767C-4B78-41EB-902C-A64BC37B240D}">
      <dgm:prSet/>
      <dgm:spPr/>
      <dgm:t>
        <a:bodyPr/>
        <a:lstStyle/>
        <a:p>
          <a:endParaRPr lang="en-AU"/>
        </a:p>
      </dgm:t>
    </dgm:pt>
    <dgm:pt modelId="{6ED989F8-B928-46DF-9247-ED20C1F147A6}" type="sibTrans" cxnId="{577C767C-4B78-41EB-902C-A64BC37B240D}">
      <dgm:prSet/>
      <dgm:spPr/>
      <dgm:t>
        <a:bodyPr/>
        <a:lstStyle/>
        <a:p>
          <a:endParaRPr lang="en-AU"/>
        </a:p>
      </dgm:t>
    </dgm:pt>
    <dgm:pt modelId="{00197B32-61E6-407D-ABC6-8CBDDDF17CB2}">
      <dgm:prSet/>
      <dgm:spPr/>
      <dgm:t>
        <a:bodyPr/>
        <a:lstStyle/>
        <a:p>
          <a:r>
            <a:rPr lang="en-AU"/>
            <a:t>  Use circuit breakers, which can help prevent cascading failures by stopping requests to a service that’s experiencing issues. </a:t>
          </a:r>
        </a:p>
      </dgm:t>
    </dgm:pt>
    <dgm:pt modelId="{E249044E-1235-4EB7-83B3-112FD6469749}" type="parTrans" cxnId="{76DF9B75-CD87-4964-887C-13211DF581CC}">
      <dgm:prSet/>
      <dgm:spPr/>
      <dgm:t>
        <a:bodyPr/>
        <a:lstStyle/>
        <a:p>
          <a:endParaRPr lang="en-AU"/>
        </a:p>
      </dgm:t>
    </dgm:pt>
    <dgm:pt modelId="{4C67FD2E-7F17-41F4-92D0-D22E15AB15DE}" type="sibTrans" cxnId="{76DF9B75-CD87-4964-887C-13211DF581CC}">
      <dgm:prSet/>
      <dgm:spPr/>
      <dgm:t>
        <a:bodyPr/>
        <a:lstStyle/>
        <a:p>
          <a:endParaRPr lang="en-AU"/>
        </a:p>
      </dgm:t>
    </dgm:pt>
    <dgm:pt modelId="{87BCF3E1-193F-4223-B8EB-719401A9FEA8}">
      <dgm:prSet/>
      <dgm:spPr/>
      <dgm:t>
        <a:bodyPr/>
        <a:lstStyle/>
        <a:p>
          <a:r>
            <a:rPr lang="en-AU"/>
            <a:t> Use timeouts to ensure that the pipeline doesn’t get stuck waiting for a step that’s taking too long.</a:t>
          </a:r>
        </a:p>
      </dgm:t>
    </dgm:pt>
    <dgm:pt modelId="{AC912B48-4030-4B8C-81AF-DCB9BD3DCB6D}" type="parTrans" cxnId="{AE779F04-9823-4C06-A4AE-B586FE2564C5}">
      <dgm:prSet/>
      <dgm:spPr/>
      <dgm:t>
        <a:bodyPr/>
        <a:lstStyle/>
        <a:p>
          <a:endParaRPr lang="en-AU"/>
        </a:p>
      </dgm:t>
    </dgm:pt>
    <dgm:pt modelId="{2CF9569C-6F38-4C98-9DC1-2587783E553F}" type="sibTrans" cxnId="{AE779F04-9823-4C06-A4AE-B586FE2564C5}">
      <dgm:prSet/>
      <dgm:spPr/>
      <dgm:t>
        <a:bodyPr/>
        <a:lstStyle/>
        <a:p>
          <a:endParaRPr lang="en-AU"/>
        </a:p>
      </dgm:t>
    </dgm:pt>
    <dgm:pt modelId="{71DB878C-0F8B-441C-BFD5-DD8F26D800CF}">
      <dgm:prSet/>
      <dgm:spPr/>
      <dgm:t>
        <a:bodyPr/>
        <a:lstStyle/>
        <a:p>
          <a:r>
            <a:rPr lang="en-AU"/>
            <a:t>Use security control tools to scan for vulnerabilities.</a:t>
          </a:r>
        </a:p>
      </dgm:t>
    </dgm:pt>
    <dgm:pt modelId="{4CE4C2BA-FA41-4A7A-A587-DD2E694DA90A}" type="parTrans" cxnId="{343F5375-1BBB-4564-BEC3-42F7D8FA6CCE}">
      <dgm:prSet/>
      <dgm:spPr/>
      <dgm:t>
        <a:bodyPr/>
        <a:lstStyle/>
        <a:p>
          <a:endParaRPr lang="en-AU"/>
        </a:p>
      </dgm:t>
    </dgm:pt>
    <dgm:pt modelId="{9E9F0E16-A0B8-41E0-ADC7-CFFF0C053907}" type="sibTrans" cxnId="{343F5375-1BBB-4564-BEC3-42F7D8FA6CCE}">
      <dgm:prSet/>
      <dgm:spPr/>
      <dgm:t>
        <a:bodyPr/>
        <a:lstStyle/>
        <a:p>
          <a:endParaRPr lang="en-AU"/>
        </a:p>
      </dgm:t>
    </dgm:pt>
    <dgm:pt modelId="{E619741B-0344-4EC0-9DD7-00B9CA788FCE}">
      <dgm:prSet/>
      <dgm:spPr/>
      <dgm:t>
        <a:bodyPr/>
        <a:lstStyle/>
        <a:p>
          <a:r>
            <a:rPr lang="en-AU" u="sng"/>
            <a:t>Tier 1-4 Applications</a:t>
          </a:r>
        </a:p>
      </dgm:t>
    </dgm:pt>
    <dgm:pt modelId="{91B6EF36-44FE-4190-A336-94F3C0490257}" type="parTrans" cxnId="{7DCF7149-E63C-43E7-8B46-8B95D7534C35}">
      <dgm:prSet/>
      <dgm:spPr/>
      <dgm:t>
        <a:bodyPr/>
        <a:lstStyle/>
        <a:p>
          <a:endParaRPr lang="en-AU"/>
        </a:p>
      </dgm:t>
    </dgm:pt>
    <dgm:pt modelId="{3236732C-AA22-41D8-969A-5648270CAFBB}" type="sibTrans" cxnId="{7DCF7149-E63C-43E7-8B46-8B95D7534C35}">
      <dgm:prSet/>
      <dgm:spPr/>
      <dgm:t>
        <a:bodyPr/>
        <a:lstStyle/>
        <a:p>
          <a:endParaRPr lang="en-AU"/>
        </a:p>
      </dgm:t>
    </dgm:pt>
    <dgm:pt modelId="{41B27316-B04B-4F7B-9013-8BEA94BDEB00}">
      <dgm:prSet/>
      <dgm:spPr/>
      <dgm:t>
        <a:bodyPr/>
        <a:lstStyle/>
        <a:p>
          <a:r>
            <a:rPr lang="en-AU"/>
            <a:t>Use safe deployment practices to roll out updates to a minimal set of customers before deploying it widely. Use automation scripts to deploy updates with automatic roll back capability built in if there’s an issue with the update deployment.</a:t>
          </a:r>
        </a:p>
      </dgm:t>
    </dgm:pt>
    <dgm:pt modelId="{1E31A9C8-348C-4E14-BBF3-B708594C0790}" type="parTrans" cxnId="{06E2AB4E-82DC-4826-B04D-AEB69BEBCDAD}">
      <dgm:prSet/>
      <dgm:spPr/>
      <dgm:t>
        <a:bodyPr/>
        <a:lstStyle/>
        <a:p>
          <a:endParaRPr lang="en-AU"/>
        </a:p>
      </dgm:t>
    </dgm:pt>
    <dgm:pt modelId="{00A228D5-7BE5-4971-881D-5F6099F9CE80}" type="sibTrans" cxnId="{06E2AB4E-82DC-4826-B04D-AEB69BEBCDAD}">
      <dgm:prSet/>
      <dgm:spPr/>
      <dgm:t>
        <a:bodyPr/>
        <a:lstStyle/>
        <a:p>
          <a:endParaRPr lang="en-AU"/>
        </a:p>
      </dgm:t>
    </dgm:pt>
    <dgm:pt modelId="{A6D6B894-8D57-4E97-AB13-D7790DB47577}">
      <dgm:prSet/>
      <dgm:spPr/>
      <dgm:t>
        <a:bodyPr/>
        <a:lstStyle/>
        <a:p>
          <a:r>
            <a:rPr lang="en-AU"/>
            <a:t>Configure alerts for issues that occur after an update deployment. If any occur, have an automated roll back script ready to execute.</a:t>
          </a:r>
        </a:p>
      </dgm:t>
    </dgm:pt>
    <dgm:pt modelId="{35940079-D6AB-4A54-A094-D19F6B815D40}" type="parTrans" cxnId="{B78133C7-1911-4169-8C36-C4801975C197}">
      <dgm:prSet/>
      <dgm:spPr/>
      <dgm:t>
        <a:bodyPr/>
        <a:lstStyle/>
        <a:p>
          <a:endParaRPr lang="en-AU"/>
        </a:p>
      </dgm:t>
    </dgm:pt>
    <dgm:pt modelId="{9241A144-E57F-4DB9-9119-BCCD03CCBE0B}" type="sibTrans" cxnId="{B78133C7-1911-4169-8C36-C4801975C197}">
      <dgm:prSet/>
      <dgm:spPr/>
      <dgm:t>
        <a:bodyPr/>
        <a:lstStyle/>
        <a:p>
          <a:endParaRPr lang="en-AU"/>
        </a:p>
      </dgm:t>
    </dgm:pt>
    <dgm:pt modelId="{1D5D8C51-116B-4D7F-9298-92670F65BB93}">
      <dgm:prSet/>
      <dgm:spPr/>
      <dgm:t>
        <a:bodyPr/>
        <a:lstStyle/>
        <a:p>
          <a:r>
            <a:rPr lang="en-AU"/>
            <a:t>Use Azure Backup's on-demand backup feature to take a backup of protected resources before an application deployment or upgrade activity. Use it restore quickly to the previous known state, in case of deployment failure.</a:t>
          </a:r>
        </a:p>
      </dgm:t>
    </dgm:pt>
    <dgm:pt modelId="{CB86407D-754D-4862-B889-0CC7EA793330}" type="parTrans" cxnId="{3D92B85E-2F4B-48C8-897F-F9688EC14B70}">
      <dgm:prSet/>
      <dgm:spPr/>
      <dgm:t>
        <a:bodyPr/>
        <a:lstStyle/>
        <a:p>
          <a:endParaRPr lang="en-AU"/>
        </a:p>
      </dgm:t>
    </dgm:pt>
    <dgm:pt modelId="{85FC5F85-51B4-4931-98B2-58FF2ECAD376}" type="sibTrans" cxnId="{3D92B85E-2F4B-48C8-897F-F9688EC14B70}">
      <dgm:prSet/>
      <dgm:spPr/>
      <dgm:t>
        <a:bodyPr/>
        <a:lstStyle/>
        <a:p>
          <a:endParaRPr lang="en-AU"/>
        </a:p>
      </dgm:t>
    </dgm:pt>
    <dgm:pt modelId="{0E9AEA00-DAB0-4473-91DB-160CE7AD0E0E}">
      <dgm:prSet/>
      <dgm:spPr/>
      <dgm:t>
        <a:bodyPr/>
        <a:lstStyle/>
        <a:p>
          <a:r>
            <a:rPr lang="en-AU"/>
            <a:t>Use automation scripts to deploy updates with automatic roll back capability built in if there’s an issue with the update deployment.</a:t>
          </a:r>
        </a:p>
      </dgm:t>
    </dgm:pt>
    <dgm:pt modelId="{EB0D3ACD-B590-4BD9-9A46-CCE4D31C356B}" type="parTrans" cxnId="{7A9A7D39-0D78-4CA0-8C75-2612C6A0DBE3}">
      <dgm:prSet/>
      <dgm:spPr/>
      <dgm:t>
        <a:bodyPr/>
        <a:lstStyle/>
        <a:p>
          <a:endParaRPr lang="en-AU"/>
        </a:p>
      </dgm:t>
    </dgm:pt>
    <dgm:pt modelId="{ACF9D705-EA7B-4B6D-9336-F83F4760529B}" type="sibTrans" cxnId="{7A9A7D39-0D78-4CA0-8C75-2612C6A0DBE3}">
      <dgm:prSet/>
      <dgm:spPr/>
      <dgm:t>
        <a:bodyPr/>
        <a:lstStyle/>
        <a:p>
          <a:endParaRPr lang="en-AU"/>
        </a:p>
      </dgm:t>
    </dgm:pt>
    <dgm:pt modelId="{D07EAC0B-6C72-4CC9-869C-960EB4C4301F}" type="pres">
      <dgm:prSet presAssocID="{C8C1CB6A-F260-4567-B785-4DF19608FE69}" presName="Name0" presStyleCnt="0">
        <dgm:presLayoutVars>
          <dgm:chMax val="7"/>
          <dgm:chPref val="7"/>
          <dgm:dir/>
          <dgm:animOne val="branch"/>
          <dgm:animLvl val="lvl"/>
        </dgm:presLayoutVars>
      </dgm:prSet>
      <dgm:spPr/>
    </dgm:pt>
    <dgm:pt modelId="{51CE16E3-D93D-4013-A50F-DEE79FAB06EF}" type="pres">
      <dgm:prSet presAssocID="{6A6B7227-27B9-47E5-84AA-C5A92DE7B52D}" presName="composite" presStyleCnt="0"/>
      <dgm:spPr/>
    </dgm:pt>
    <dgm:pt modelId="{411AC314-890B-473C-8F7B-00BBB4CA868D}" type="pres">
      <dgm:prSet presAssocID="{6A6B7227-27B9-47E5-84AA-C5A92DE7B52D}" presName="BackAccent" presStyleLbl="bgShp" presStyleIdx="0" presStyleCnt="2"/>
      <dgm:spPr/>
    </dgm:pt>
    <dgm:pt modelId="{2B55EE49-E545-4E5D-8CA7-758ABD8F1037}" type="pres">
      <dgm:prSet presAssocID="{6A6B7227-27B9-47E5-84AA-C5A92DE7B52D}" presName="Accent" presStyleLbl="alignNode1" presStyleIdx="0" presStyleCnt="2"/>
      <dgm:spPr/>
    </dgm:pt>
    <dgm:pt modelId="{AC6BF7C1-5ECF-4DCC-B3E1-4A5389193B8C}" type="pres">
      <dgm:prSet presAssocID="{6A6B7227-27B9-47E5-84AA-C5A92DE7B52D}" presName="Child" presStyleLbl="revTx" presStyleIdx="0" presStyleCnt="4">
        <dgm:presLayoutVars>
          <dgm:chMax val="0"/>
          <dgm:chPref val="0"/>
          <dgm:bulletEnabled val="1"/>
        </dgm:presLayoutVars>
      </dgm:prSet>
      <dgm:spPr/>
    </dgm:pt>
    <dgm:pt modelId="{1764240F-41F9-42D2-8804-52DE5D0083C8}" type="pres">
      <dgm:prSet presAssocID="{6A6B7227-27B9-47E5-84AA-C5A92DE7B52D}" presName="Parent" presStyleLbl="revTx" presStyleIdx="1" presStyleCnt="4">
        <dgm:presLayoutVars>
          <dgm:chMax val="1"/>
          <dgm:chPref val="1"/>
          <dgm:bulletEnabled val="1"/>
        </dgm:presLayoutVars>
      </dgm:prSet>
      <dgm:spPr/>
    </dgm:pt>
    <dgm:pt modelId="{CB78AD39-2191-4F99-B704-2DA71CCD4C1B}" type="pres">
      <dgm:prSet presAssocID="{13A54D5D-4B11-4C9F-AE64-7837221FCD81}" presName="sibTrans" presStyleCnt="0"/>
      <dgm:spPr/>
    </dgm:pt>
    <dgm:pt modelId="{8837C682-04CB-4E50-847B-AFE42A18B539}" type="pres">
      <dgm:prSet presAssocID="{EC6F2235-EC0D-44DA-AC17-3198D62E2082}" presName="composite" presStyleCnt="0"/>
      <dgm:spPr/>
    </dgm:pt>
    <dgm:pt modelId="{5D69E8F9-EBD7-478D-A435-81A057FA2B28}" type="pres">
      <dgm:prSet presAssocID="{EC6F2235-EC0D-44DA-AC17-3198D62E2082}" presName="BackAccent" presStyleLbl="bgShp" presStyleIdx="1" presStyleCnt="2"/>
      <dgm:spPr/>
    </dgm:pt>
    <dgm:pt modelId="{457BE35F-21F8-4BA6-B3B2-2E3331527E52}" type="pres">
      <dgm:prSet presAssocID="{EC6F2235-EC0D-44DA-AC17-3198D62E2082}" presName="Accent" presStyleLbl="alignNode1" presStyleIdx="1" presStyleCnt="2"/>
      <dgm:spPr/>
    </dgm:pt>
    <dgm:pt modelId="{C5DE7F64-585B-4954-AD28-8328B672C457}" type="pres">
      <dgm:prSet presAssocID="{EC6F2235-EC0D-44DA-AC17-3198D62E2082}" presName="Child" presStyleLbl="revTx" presStyleIdx="2" presStyleCnt="4">
        <dgm:presLayoutVars>
          <dgm:chMax val="0"/>
          <dgm:chPref val="0"/>
          <dgm:bulletEnabled val="1"/>
        </dgm:presLayoutVars>
      </dgm:prSet>
      <dgm:spPr/>
    </dgm:pt>
    <dgm:pt modelId="{3B4A4C5E-9CC5-40B3-AD5D-38F17B69982C}" type="pres">
      <dgm:prSet presAssocID="{EC6F2235-EC0D-44DA-AC17-3198D62E2082}" presName="Parent" presStyleLbl="revTx" presStyleIdx="3" presStyleCnt="4">
        <dgm:presLayoutVars>
          <dgm:chMax val="1"/>
          <dgm:chPref val="1"/>
          <dgm:bulletEnabled val="1"/>
        </dgm:presLayoutVars>
      </dgm:prSet>
      <dgm:spPr/>
    </dgm:pt>
  </dgm:ptLst>
  <dgm:cxnLst>
    <dgm:cxn modelId="{F38EF002-9A7C-4CC6-9937-65DEB21C4217}" type="presOf" srcId="{EC05C4D0-176A-48AF-B028-37652D49CCC6}" destId="{AC6BF7C1-5ECF-4DCC-B3E1-4A5389193B8C}" srcOrd="0" destOrd="4" presId="urn:microsoft.com/office/officeart/2008/layout/IncreasingCircleProcess"/>
    <dgm:cxn modelId="{AE779F04-9823-4C06-A4AE-B586FE2564C5}" srcId="{6E5E56CE-97AF-4848-B58D-26E338778112}" destId="{87BCF3E1-193F-4223-B8EB-719401A9FEA8}" srcOrd="2" destOrd="0" parTransId="{AC912B48-4030-4B8C-81AF-DCB9BD3DCB6D}" sibTransId="{2CF9569C-6F38-4C98-9DC1-2587783E553F}"/>
    <dgm:cxn modelId="{53FB590F-3DD0-444A-A985-9824096BDA0F}" type="presOf" srcId="{5D33AF20-63B5-40B0-B559-2511DC29B54D}" destId="{AC6BF7C1-5ECF-4DCC-B3E1-4A5389193B8C}" srcOrd="0" destOrd="9" presId="urn:microsoft.com/office/officeart/2008/layout/IncreasingCircleProcess"/>
    <dgm:cxn modelId="{F0265C28-FFC8-4EE3-9DD6-4E292177278F}" srcId="{FB756C36-A832-4216-85D2-E556599268CF}" destId="{DFE9E812-C59A-4FE0-81FF-FBC3F82675C4}" srcOrd="1" destOrd="0" parTransId="{41DC2DF2-EF91-45FB-A746-AC2928812F92}" sibTransId="{F66F1AC9-7559-475D-9470-CE544878B160}"/>
    <dgm:cxn modelId="{1C7D932E-8CDB-4950-AC85-1B2E4FFA5CC9}" type="presOf" srcId="{39EC0DED-2953-4E6A-B29D-9C27C55554C2}" destId="{AC6BF7C1-5ECF-4DCC-B3E1-4A5389193B8C}" srcOrd="0" destOrd="5" presId="urn:microsoft.com/office/officeart/2008/layout/IncreasingCircleProcess"/>
    <dgm:cxn modelId="{9C2E6B39-1C29-4930-AC07-E44EF2EF0EB1}" srcId="{FB756C36-A832-4216-85D2-E556599268CF}" destId="{A29B5CFA-83A8-4C60-AF37-690AB32C0914}" srcOrd="0" destOrd="0" parTransId="{D8895210-10D9-49A7-B795-4F00E2E8DCB3}" sibTransId="{23AF5065-DC5A-4846-AF10-B26B9110EAF9}"/>
    <dgm:cxn modelId="{7A9A7D39-0D78-4CA0-8C75-2612C6A0DBE3}" srcId="{E619741B-0344-4EC0-9DD7-00B9CA788FCE}" destId="{0E9AEA00-DAB0-4473-91DB-160CE7AD0E0E}" srcOrd="1" destOrd="0" parTransId="{EB0D3ACD-B590-4BD9-9A46-CCE4D31C356B}" sibTransId="{ACF9D705-EA7B-4B6D-9336-F83F4760529B}"/>
    <dgm:cxn modelId="{CA19A95C-C42D-4503-AC1A-5AB08F9C6189}" type="presOf" srcId="{0E9AEA00-DAB0-4473-91DB-160CE7AD0E0E}" destId="{C5DE7F64-585B-4954-AD28-8328B672C457}" srcOrd="0" destOrd="2" presId="urn:microsoft.com/office/officeart/2008/layout/IncreasingCircleProcess"/>
    <dgm:cxn modelId="{6C2AB35D-18CD-4AF4-A9BA-1F255177F7AD}" srcId="{FB756C36-A832-4216-85D2-E556599268CF}" destId="{EC05C4D0-176A-48AF-B028-37652D49CCC6}" srcOrd="2" destOrd="0" parTransId="{42EBF2D2-A320-47D2-B476-8C302D08A342}" sibTransId="{E88A1BA3-7F01-4F2D-A4D5-4C596D3D2B92}"/>
    <dgm:cxn modelId="{3D92B85E-2F4B-48C8-897F-F9688EC14B70}" srcId="{E619741B-0344-4EC0-9DD7-00B9CA788FCE}" destId="{1D5D8C51-116B-4D7F-9298-92670F65BB93}" srcOrd="3" destOrd="0" parTransId="{CB86407D-754D-4862-B889-0CC7EA793330}" sibTransId="{85FC5F85-51B4-4931-98B2-58FF2ECAD376}"/>
    <dgm:cxn modelId="{1D1B0464-045A-421F-8598-4283B8DBE7CE}" type="presOf" srcId="{B591ED4D-69D1-4760-B358-148EB6763954}" destId="{AC6BF7C1-5ECF-4DCC-B3E1-4A5389193B8C}" srcOrd="0" destOrd="12" presId="urn:microsoft.com/office/officeart/2008/layout/IncreasingCircleProcess"/>
    <dgm:cxn modelId="{01747D48-13E3-47E3-AAFE-7C111E6BAA84}" srcId="{FB756C36-A832-4216-85D2-E556599268CF}" destId="{5D33AF20-63B5-40B0-B559-2511DC29B54D}" srcOrd="7" destOrd="0" parTransId="{C6218B8E-522F-49B5-A627-849786848E43}" sibTransId="{27AC0B5D-E797-4333-8F98-D22961925706}"/>
    <dgm:cxn modelId="{7DCF7149-E63C-43E7-8B46-8B95D7534C35}" srcId="{EC6F2235-EC0D-44DA-AC17-3198D62E2082}" destId="{E619741B-0344-4EC0-9DD7-00B9CA788FCE}" srcOrd="0" destOrd="0" parTransId="{91B6EF36-44FE-4190-A336-94F3C0490257}" sibTransId="{3236732C-AA22-41D8-969A-5648270CAFBB}"/>
    <dgm:cxn modelId="{06E2AB4E-82DC-4826-B04D-AEB69BEBCDAD}" srcId="{E619741B-0344-4EC0-9DD7-00B9CA788FCE}" destId="{41B27316-B04B-4F7B-9013-8BEA94BDEB00}" srcOrd="0" destOrd="0" parTransId="{1E31A9C8-348C-4E14-BBF3-B708594C0790}" sibTransId="{00A228D5-7BE5-4971-881D-5F6099F9CE80}"/>
    <dgm:cxn modelId="{4D73B26E-DF5D-4256-BF8F-7B0B796E3A54}" type="presOf" srcId="{41B27316-B04B-4F7B-9013-8BEA94BDEB00}" destId="{C5DE7F64-585B-4954-AD28-8328B672C457}" srcOrd="0" destOrd="1" presId="urn:microsoft.com/office/officeart/2008/layout/IncreasingCircleProcess"/>
    <dgm:cxn modelId="{A91EF14E-A01C-4501-9896-BD3632CAC397}" type="presOf" srcId="{87BCF3E1-193F-4223-B8EB-719401A9FEA8}" destId="{AC6BF7C1-5ECF-4DCC-B3E1-4A5389193B8C}" srcOrd="0" destOrd="14" presId="urn:microsoft.com/office/officeart/2008/layout/IncreasingCircleProcess"/>
    <dgm:cxn modelId="{71372072-8379-4EE8-8677-6D913B3679D2}" type="presOf" srcId="{A29B5CFA-83A8-4C60-AF37-690AB32C0914}" destId="{AC6BF7C1-5ECF-4DCC-B3E1-4A5389193B8C}" srcOrd="0" destOrd="2" presId="urn:microsoft.com/office/officeart/2008/layout/IncreasingCircleProcess"/>
    <dgm:cxn modelId="{AF4A2973-EC10-46BA-9656-CD2D38F7A155}" type="presOf" srcId="{1D5D8C51-116B-4D7F-9298-92670F65BB93}" destId="{C5DE7F64-585B-4954-AD28-8328B672C457}" srcOrd="0" destOrd="4" presId="urn:microsoft.com/office/officeart/2008/layout/IncreasingCircleProcess"/>
    <dgm:cxn modelId="{A2047753-1831-4B83-9918-9BFC48F6F0AB}" type="presOf" srcId="{FB756C36-A832-4216-85D2-E556599268CF}" destId="{AC6BF7C1-5ECF-4DCC-B3E1-4A5389193B8C}" srcOrd="0" destOrd="1" presId="urn:microsoft.com/office/officeart/2008/layout/IncreasingCircleProcess"/>
    <dgm:cxn modelId="{343F5375-1BBB-4564-BEC3-42F7D8FA6CCE}" srcId="{FB756C36-A832-4216-85D2-E556599268CF}" destId="{71DB878C-0F8B-441C-BFD5-DD8F26D800CF}" srcOrd="4" destOrd="0" parTransId="{4CE4C2BA-FA41-4A7A-A587-DD2E694DA90A}" sibTransId="{9E9F0E16-A0B8-41E0-ADC7-CFFF0C053907}"/>
    <dgm:cxn modelId="{76DF9B75-CD87-4964-887C-13211DF581CC}" srcId="{6E5E56CE-97AF-4848-B58D-26E338778112}" destId="{00197B32-61E6-407D-ABC6-8CBDDDF17CB2}" srcOrd="1" destOrd="0" parTransId="{E249044E-1235-4EB7-83B3-112FD6469749}" sibTransId="{4C67FD2E-7F17-41F4-92D0-D22E15AB15DE}"/>
    <dgm:cxn modelId="{577C767C-4B78-41EB-902C-A64BC37B240D}" srcId="{6E5E56CE-97AF-4848-B58D-26E338778112}" destId="{B591ED4D-69D1-4760-B358-148EB6763954}" srcOrd="0" destOrd="0" parTransId="{C06B8B9F-5B80-403A-B3C2-D79A6F448C34}" sibTransId="{6ED989F8-B928-46DF-9247-ED20C1F147A6}"/>
    <dgm:cxn modelId="{A859157F-26E7-464F-808C-C0BEC754E638}" type="presOf" srcId="{00197B32-61E6-407D-ABC6-8CBDDDF17CB2}" destId="{AC6BF7C1-5ECF-4DCC-B3E1-4A5389193B8C}" srcOrd="0" destOrd="13" presId="urn:microsoft.com/office/officeart/2008/layout/IncreasingCircleProcess"/>
    <dgm:cxn modelId="{5CCE3684-EA38-4D4B-8608-705EA9588010}" type="presOf" srcId="{DFE9E812-C59A-4FE0-81FF-FBC3F82675C4}" destId="{AC6BF7C1-5ECF-4DCC-B3E1-4A5389193B8C}" srcOrd="0" destOrd="3" presId="urn:microsoft.com/office/officeart/2008/layout/IncreasingCircleProcess"/>
    <dgm:cxn modelId="{9BC18B84-4C34-4A1C-BAD7-7C1FD1B1D5D4}" type="presOf" srcId="{C8C1CB6A-F260-4567-B785-4DF19608FE69}" destId="{D07EAC0B-6C72-4CC9-869C-960EB4C4301F}" srcOrd="0" destOrd="0" presId="urn:microsoft.com/office/officeart/2008/layout/IncreasingCircleProcess"/>
    <dgm:cxn modelId="{2FD2C489-E10C-417D-A28E-C3AE5596ADF9}" srcId="{6A6B7227-27B9-47E5-84AA-C5A92DE7B52D}" destId="{FB756C36-A832-4216-85D2-E556599268CF}" srcOrd="1" destOrd="0" parTransId="{4F6A2403-B987-4E45-AB1B-4172C2DC99FB}" sibTransId="{0E4B09CE-6E0E-40B1-81B1-88911F35071A}"/>
    <dgm:cxn modelId="{A46DB896-BFC9-41CC-8DDC-3171D2046B9C}" type="presOf" srcId="{A6D6B894-8D57-4E97-AB13-D7790DB47577}" destId="{C5DE7F64-585B-4954-AD28-8328B672C457}" srcOrd="0" destOrd="3" presId="urn:microsoft.com/office/officeart/2008/layout/IncreasingCircleProcess"/>
    <dgm:cxn modelId="{27DC6E99-4EFB-4C36-9BA8-1F5B9C9454B0}" srcId="{FB756C36-A832-4216-85D2-E556599268CF}" destId="{9A4552B1-C30A-4404-95AC-5F83706481FD}" srcOrd="5" destOrd="0" parTransId="{11FB6623-5326-4FAE-8FD6-2CE1018258AA}" sibTransId="{DCE6B23F-39AB-4157-826C-B6277E25E6B8}"/>
    <dgm:cxn modelId="{196513A1-6866-4681-ABC0-CB79F63962AD}" type="presOf" srcId="{6A6B7227-27B9-47E5-84AA-C5A92DE7B52D}" destId="{1764240F-41F9-42D2-8804-52DE5D0083C8}" srcOrd="0" destOrd="0" presId="urn:microsoft.com/office/officeart/2008/layout/IncreasingCircleProcess"/>
    <dgm:cxn modelId="{0BBFF2A8-237B-4F8A-BE2B-5200605020A0}" srcId="{C8C1CB6A-F260-4567-B785-4DF19608FE69}" destId="{EC6F2235-EC0D-44DA-AC17-3198D62E2082}" srcOrd="1" destOrd="0" parTransId="{F727C9CA-B463-4D7E-8019-E82851E01DD9}" sibTransId="{97D28F67-86FC-45CC-91E6-03ACA41C5642}"/>
    <dgm:cxn modelId="{4719A3AA-28F6-4C75-9914-5BC6E8ED61FF}" srcId="{6A6B7227-27B9-47E5-84AA-C5A92DE7B52D}" destId="{869DB8B3-2635-44F7-A7A5-8E3EDFE113AC}" srcOrd="0" destOrd="0" parTransId="{85CFD57E-78EC-4BB5-8ED0-BA47B11F1ED8}" sibTransId="{46143C60-359E-4F2E-BF84-5888478D9583}"/>
    <dgm:cxn modelId="{38FB3DAD-7FA2-4429-9FE1-47F40BDA36B6}" type="presOf" srcId="{EC6F2235-EC0D-44DA-AC17-3198D62E2082}" destId="{3B4A4C5E-9CC5-40B3-AD5D-38F17B69982C}" srcOrd="0" destOrd="0" presId="urn:microsoft.com/office/officeart/2008/layout/IncreasingCircleProcess"/>
    <dgm:cxn modelId="{1106A2B1-3B65-4558-AD17-F5862F9F3046}" srcId="{6A6B7227-27B9-47E5-84AA-C5A92DE7B52D}" destId="{6E5E56CE-97AF-4848-B58D-26E338778112}" srcOrd="2" destOrd="0" parTransId="{49B46EE5-C44A-49C6-B9DC-0D8E9DA12592}" sibTransId="{0371665E-7169-43CC-818B-F193B46ADC81}"/>
    <dgm:cxn modelId="{A73217B2-1C6F-4B57-BBAF-ADDA4FE926A8}" type="presOf" srcId="{E619741B-0344-4EC0-9DD7-00B9CA788FCE}" destId="{C5DE7F64-585B-4954-AD28-8328B672C457}" srcOrd="0" destOrd="0" presId="urn:microsoft.com/office/officeart/2008/layout/IncreasingCircleProcess"/>
    <dgm:cxn modelId="{936FF4B3-37E1-4727-A81E-F808000574D4}" type="presOf" srcId="{9A4552B1-C30A-4404-95AC-5F83706481FD}" destId="{AC6BF7C1-5ECF-4DCC-B3E1-4A5389193B8C}" srcOrd="0" destOrd="7" presId="urn:microsoft.com/office/officeart/2008/layout/IncreasingCircleProcess"/>
    <dgm:cxn modelId="{B78133C7-1911-4169-8C36-C4801975C197}" srcId="{E619741B-0344-4EC0-9DD7-00B9CA788FCE}" destId="{A6D6B894-8D57-4E97-AB13-D7790DB47577}" srcOrd="2" destOrd="0" parTransId="{35940079-D6AB-4A54-A094-D19F6B815D40}" sibTransId="{9241A144-E57F-4DB9-9119-BCCD03CCBE0B}"/>
    <dgm:cxn modelId="{9B8339C8-91B6-4677-9685-56254659F5FE}" srcId="{FB756C36-A832-4216-85D2-E556599268CF}" destId="{B24E0B1E-6B41-414F-ABFE-C694F78D1504}" srcOrd="6" destOrd="0" parTransId="{4887F90E-A22C-4EC3-B352-FA2BF54FC9CE}" sibTransId="{DD5B5162-1526-471E-8D74-9ED1800ED3C0}"/>
    <dgm:cxn modelId="{F6E7EAD8-8A06-442D-9C4A-5B02104C9197}" type="presOf" srcId="{B24E0B1E-6B41-414F-ABFE-C694F78D1504}" destId="{AC6BF7C1-5ECF-4DCC-B3E1-4A5389193B8C}" srcOrd="0" destOrd="8" presId="urn:microsoft.com/office/officeart/2008/layout/IncreasingCircleProcess"/>
    <dgm:cxn modelId="{CCBD19DA-E40E-4A01-8A28-37E03C726AF7}" srcId="{FB756C36-A832-4216-85D2-E556599268CF}" destId="{39EC0DED-2953-4E6A-B29D-9C27C55554C2}" srcOrd="3" destOrd="0" parTransId="{852659D1-7491-4D6B-8A2D-12AE3BE801A3}" sibTransId="{63EDF439-A014-4CBF-B498-40A5D6744882}"/>
    <dgm:cxn modelId="{59BFFBDB-35C4-4C39-BF10-980EC9C17B45}" srcId="{FB756C36-A832-4216-85D2-E556599268CF}" destId="{8193985B-381E-4049-8042-EFA2DCF7BAC8}" srcOrd="8" destOrd="0" parTransId="{E8670A49-14A0-4BDF-BB22-4316DCB57D84}" sibTransId="{DF7FE6EA-A49D-420E-8EA9-2AA50F069011}"/>
    <dgm:cxn modelId="{35A870DC-90F4-4CBC-915D-8F433289F803}" srcId="{C8C1CB6A-F260-4567-B785-4DF19608FE69}" destId="{6A6B7227-27B9-47E5-84AA-C5A92DE7B52D}" srcOrd="0" destOrd="0" parTransId="{FD70CC8D-A7B8-4696-8670-12BC573769AE}" sibTransId="{13A54D5D-4B11-4C9F-AE64-7837221FCD81}"/>
    <dgm:cxn modelId="{62A5B7DE-800F-4F1C-85D8-C9E6D5ABE08C}" type="presOf" srcId="{71DB878C-0F8B-441C-BFD5-DD8F26D800CF}" destId="{AC6BF7C1-5ECF-4DCC-B3E1-4A5389193B8C}" srcOrd="0" destOrd="6" presId="urn:microsoft.com/office/officeart/2008/layout/IncreasingCircleProcess"/>
    <dgm:cxn modelId="{52C8B6E2-AC4A-464D-A0F7-C6FF1CAFEB7F}" type="presOf" srcId="{6E5E56CE-97AF-4848-B58D-26E338778112}" destId="{AC6BF7C1-5ECF-4DCC-B3E1-4A5389193B8C}" srcOrd="0" destOrd="11" presId="urn:microsoft.com/office/officeart/2008/layout/IncreasingCircleProcess"/>
    <dgm:cxn modelId="{BE34BBF7-275C-4C4D-BFE1-ED5A1883C49D}" type="presOf" srcId="{8193985B-381E-4049-8042-EFA2DCF7BAC8}" destId="{AC6BF7C1-5ECF-4DCC-B3E1-4A5389193B8C}" srcOrd="0" destOrd="10" presId="urn:microsoft.com/office/officeart/2008/layout/IncreasingCircleProcess"/>
    <dgm:cxn modelId="{C8B348FB-2207-4808-8BA1-6618312C7618}" type="presOf" srcId="{869DB8B3-2635-44F7-A7A5-8E3EDFE113AC}" destId="{AC6BF7C1-5ECF-4DCC-B3E1-4A5389193B8C}" srcOrd="0" destOrd="0" presId="urn:microsoft.com/office/officeart/2008/layout/IncreasingCircleProcess"/>
    <dgm:cxn modelId="{E324F229-A28D-41D1-8CEE-D741510B8102}" type="presParOf" srcId="{D07EAC0B-6C72-4CC9-869C-960EB4C4301F}" destId="{51CE16E3-D93D-4013-A50F-DEE79FAB06EF}" srcOrd="0" destOrd="0" presId="urn:microsoft.com/office/officeart/2008/layout/IncreasingCircleProcess"/>
    <dgm:cxn modelId="{29C8FB15-492E-4CEA-A6CC-F35178F95D37}" type="presParOf" srcId="{51CE16E3-D93D-4013-A50F-DEE79FAB06EF}" destId="{411AC314-890B-473C-8F7B-00BBB4CA868D}" srcOrd="0" destOrd="0" presId="urn:microsoft.com/office/officeart/2008/layout/IncreasingCircleProcess"/>
    <dgm:cxn modelId="{BA5A1BD0-CE62-416F-AF3E-DA3DEDECF660}" type="presParOf" srcId="{51CE16E3-D93D-4013-A50F-DEE79FAB06EF}" destId="{2B55EE49-E545-4E5D-8CA7-758ABD8F1037}" srcOrd="1" destOrd="0" presId="urn:microsoft.com/office/officeart/2008/layout/IncreasingCircleProcess"/>
    <dgm:cxn modelId="{539E569C-23CD-48D4-964E-180B9BA7BB89}" type="presParOf" srcId="{51CE16E3-D93D-4013-A50F-DEE79FAB06EF}" destId="{AC6BF7C1-5ECF-4DCC-B3E1-4A5389193B8C}" srcOrd="2" destOrd="0" presId="urn:microsoft.com/office/officeart/2008/layout/IncreasingCircleProcess"/>
    <dgm:cxn modelId="{63CEEC75-F5EC-47C8-ADE6-3CE97F3BCE5B}" type="presParOf" srcId="{51CE16E3-D93D-4013-A50F-DEE79FAB06EF}" destId="{1764240F-41F9-42D2-8804-52DE5D0083C8}" srcOrd="3" destOrd="0" presId="urn:microsoft.com/office/officeart/2008/layout/IncreasingCircleProcess"/>
    <dgm:cxn modelId="{8CEC91BF-E571-4FA3-AEF0-40D7FBD1BACA}" type="presParOf" srcId="{D07EAC0B-6C72-4CC9-869C-960EB4C4301F}" destId="{CB78AD39-2191-4F99-B704-2DA71CCD4C1B}" srcOrd="1" destOrd="0" presId="urn:microsoft.com/office/officeart/2008/layout/IncreasingCircleProcess"/>
    <dgm:cxn modelId="{41EC00E1-AFF0-46BB-AFC2-8319EF410981}" type="presParOf" srcId="{D07EAC0B-6C72-4CC9-869C-960EB4C4301F}" destId="{8837C682-04CB-4E50-847B-AFE42A18B539}" srcOrd="2" destOrd="0" presId="urn:microsoft.com/office/officeart/2008/layout/IncreasingCircleProcess"/>
    <dgm:cxn modelId="{FD39AEA7-88D4-42CD-B8A8-C71193A3A78D}" type="presParOf" srcId="{8837C682-04CB-4E50-847B-AFE42A18B539}" destId="{5D69E8F9-EBD7-478D-A435-81A057FA2B28}" srcOrd="0" destOrd="0" presId="urn:microsoft.com/office/officeart/2008/layout/IncreasingCircleProcess"/>
    <dgm:cxn modelId="{8EB86C66-2783-4C9E-9E42-908F368F216A}" type="presParOf" srcId="{8837C682-04CB-4E50-847B-AFE42A18B539}" destId="{457BE35F-21F8-4BA6-B3B2-2E3331527E52}" srcOrd="1" destOrd="0" presId="urn:microsoft.com/office/officeart/2008/layout/IncreasingCircleProcess"/>
    <dgm:cxn modelId="{1DE14D75-4C6F-458A-BB19-0F77192A9B3E}" type="presParOf" srcId="{8837C682-04CB-4E50-847B-AFE42A18B539}" destId="{C5DE7F64-585B-4954-AD28-8328B672C457}" srcOrd="2" destOrd="0" presId="urn:microsoft.com/office/officeart/2008/layout/IncreasingCircleProcess"/>
    <dgm:cxn modelId="{67EDBEC2-9B37-4E68-825F-871BE2F3F82A}" type="presParOf" srcId="{8837C682-04CB-4E50-847B-AFE42A18B539}" destId="{3B4A4C5E-9CC5-40B3-AD5D-38F17B69982C}" srcOrd="3" destOrd="0" presId="urn:microsoft.com/office/officeart/2008/layout/IncreasingCircleProcess"/>
  </dgm:cxnLst>
  <dgm:bg/>
  <dgm:whole/>
  <dgm:extLst>
    <a:ext uri="http://schemas.microsoft.com/office/drawing/2008/diagram">
      <dsp:dataModelExt xmlns:dsp="http://schemas.microsoft.com/office/drawing/2008/diagram" relId="rId10" minVer="http://schemas.openxmlformats.org/drawingml/2006/diagram"/>
    </a:ext>
    <a:ext uri="{C62137D5-CB1D-491B-B009-E17868A290BF}">
      <dgm14:recolorImg xmlns:dgm14="http://schemas.microsoft.com/office/drawing/2010/diagram" val="1"/>
    </a:ext>
  </dgm:extLst>
</dgm:dataModel>
</file>

<file path=xl/diagrams/data3.xml><?xml version="1.0" encoding="utf-8"?>
<dgm:dataModel xmlns:dgm="http://schemas.openxmlformats.org/drawingml/2006/diagram" xmlns:a="http://schemas.openxmlformats.org/drawingml/2006/main">
  <dgm:ptLst>
    <dgm:pt modelId="{C8C1CB6A-F260-4567-B785-4DF19608FE69}" type="doc">
      <dgm:prSet loTypeId="urn:microsoft.com/office/officeart/2008/layout/IncreasingCircleProcess" loCatId="list" qsTypeId="urn:microsoft.com/office/officeart/2005/8/quickstyle/simple1" qsCatId="simple" csTypeId="urn:microsoft.com/office/officeart/2005/8/colors/accent4_1" csCatId="accent4" phldr="1"/>
      <dgm:spPr/>
      <dgm:t>
        <a:bodyPr/>
        <a:lstStyle/>
        <a:p>
          <a:endParaRPr lang="en-AU"/>
        </a:p>
      </dgm:t>
    </dgm:pt>
    <dgm:pt modelId="{6A6B7227-27B9-47E5-84AA-C5A92DE7B52D}">
      <dgm:prSet phldrT="[Text]" custT="1"/>
      <dgm:spPr/>
      <dgm:t>
        <a:bodyPr/>
        <a:lstStyle/>
        <a:p>
          <a:r>
            <a:rPr lang="en-AU" sz="2800"/>
            <a:t>Availability</a:t>
          </a:r>
        </a:p>
      </dgm:t>
    </dgm:pt>
    <dgm:pt modelId="{FD70CC8D-A7B8-4696-8670-12BC573769AE}" type="parTrans" cxnId="{35A870DC-90F4-4CBC-915D-8F433289F803}">
      <dgm:prSet/>
      <dgm:spPr/>
      <dgm:t>
        <a:bodyPr/>
        <a:lstStyle/>
        <a:p>
          <a:endParaRPr lang="en-AU"/>
        </a:p>
      </dgm:t>
    </dgm:pt>
    <dgm:pt modelId="{13A54D5D-4B11-4C9F-AE64-7837221FCD81}" type="sibTrans" cxnId="{35A870DC-90F4-4CBC-915D-8F433289F803}">
      <dgm:prSet/>
      <dgm:spPr/>
      <dgm:t>
        <a:bodyPr/>
        <a:lstStyle/>
        <a:p>
          <a:endParaRPr lang="en-AU"/>
        </a:p>
      </dgm:t>
    </dgm:pt>
    <dgm:pt modelId="{869DB8B3-2635-44F7-A7A5-8E3EDFE113AC}">
      <dgm:prSet phldrT="[Text]"/>
      <dgm:spPr/>
      <dgm:t>
        <a:bodyPr/>
        <a:lstStyle/>
        <a:p>
          <a:r>
            <a:rPr lang="en-AU" u="sng"/>
            <a:t>Tier 1-4 Applications</a:t>
          </a:r>
        </a:p>
      </dgm:t>
    </dgm:pt>
    <dgm:pt modelId="{85CFD57E-78EC-4BB5-8ED0-BA47B11F1ED8}" type="parTrans" cxnId="{4719A3AA-28F6-4C75-9914-5BC6E8ED61FF}">
      <dgm:prSet/>
      <dgm:spPr/>
      <dgm:t>
        <a:bodyPr/>
        <a:lstStyle/>
        <a:p>
          <a:endParaRPr lang="en-AU"/>
        </a:p>
      </dgm:t>
    </dgm:pt>
    <dgm:pt modelId="{46143C60-359E-4F2E-BF84-5888478D9583}" type="sibTrans" cxnId="{4719A3AA-28F6-4C75-9914-5BC6E8ED61FF}">
      <dgm:prSet/>
      <dgm:spPr/>
      <dgm:t>
        <a:bodyPr/>
        <a:lstStyle/>
        <a:p>
          <a:endParaRPr lang="en-AU"/>
        </a:p>
      </dgm:t>
    </dgm:pt>
    <dgm:pt modelId="{BE28668A-175F-4F2F-A0BB-FA4C7F636F93}">
      <dgm:prSet/>
      <dgm:spPr/>
      <dgm:t>
        <a:bodyPr/>
        <a:lstStyle/>
        <a:p>
          <a:r>
            <a:rPr lang="en-AU"/>
            <a:t>To mitigate the risk of user lockout, use Conditional Access policies with multiple controls to give users a choice of how they will access apps and resources. By giving a user the choice between, for example, signing in with MFA or signing in from a managed device or signing in from the corporate network, if one of the access controls is unavailable the user has other options to continue to work.</a:t>
          </a:r>
        </a:p>
      </dgm:t>
    </dgm:pt>
    <dgm:pt modelId="{2F618C83-93EF-4E1E-A28F-A893A827DDF0}" type="parTrans" cxnId="{F546458C-DB33-4C22-A9DC-AA8CDA99A3FE}">
      <dgm:prSet/>
      <dgm:spPr/>
      <dgm:t>
        <a:bodyPr/>
        <a:lstStyle/>
        <a:p>
          <a:endParaRPr lang="en-AU"/>
        </a:p>
      </dgm:t>
    </dgm:pt>
    <dgm:pt modelId="{F3535DAD-BD06-4DC9-9D2D-3D0B186EEE68}" type="sibTrans" cxnId="{F546458C-DB33-4C22-A9DC-AA8CDA99A3FE}">
      <dgm:prSet/>
      <dgm:spPr/>
      <dgm:t>
        <a:bodyPr/>
        <a:lstStyle/>
        <a:p>
          <a:endParaRPr lang="en-AU"/>
        </a:p>
      </dgm:t>
    </dgm:pt>
    <dgm:pt modelId="{FB2E87FA-79CF-43B8-86A6-CB56CC035823}">
      <dgm:prSet/>
      <dgm:spPr/>
      <dgm:t>
        <a:bodyPr/>
        <a:lstStyle/>
        <a:p>
          <a:r>
            <a:rPr lang="en-AU"/>
            <a:t>To mitigate the risk of user device failure, consider using Azure Virtual Desktop (AVD) for end user access to applications.</a:t>
          </a:r>
        </a:p>
      </dgm:t>
    </dgm:pt>
    <dgm:pt modelId="{60C983FA-6983-43CC-A920-D13C94492C7F}" type="parTrans" cxnId="{86984D9B-3FD3-4314-AB9A-F3969D0A1BF0}">
      <dgm:prSet/>
      <dgm:spPr/>
      <dgm:t>
        <a:bodyPr/>
        <a:lstStyle/>
        <a:p>
          <a:endParaRPr lang="en-AU"/>
        </a:p>
      </dgm:t>
    </dgm:pt>
    <dgm:pt modelId="{B92CAFA0-E1A0-4B5B-8285-21F072256BFB}" type="sibTrans" cxnId="{86984D9B-3FD3-4314-AB9A-F3969D0A1BF0}">
      <dgm:prSet/>
      <dgm:spPr/>
      <dgm:t>
        <a:bodyPr/>
        <a:lstStyle/>
        <a:p>
          <a:endParaRPr lang="en-AU"/>
        </a:p>
      </dgm:t>
    </dgm:pt>
    <dgm:pt modelId="{D07EAC0B-6C72-4CC9-869C-960EB4C4301F}" type="pres">
      <dgm:prSet presAssocID="{C8C1CB6A-F260-4567-B785-4DF19608FE69}" presName="Name0" presStyleCnt="0">
        <dgm:presLayoutVars>
          <dgm:chMax val="7"/>
          <dgm:chPref val="7"/>
          <dgm:dir/>
          <dgm:animOne val="branch"/>
          <dgm:animLvl val="lvl"/>
        </dgm:presLayoutVars>
      </dgm:prSet>
      <dgm:spPr/>
    </dgm:pt>
    <dgm:pt modelId="{51CE16E3-D93D-4013-A50F-DEE79FAB06EF}" type="pres">
      <dgm:prSet presAssocID="{6A6B7227-27B9-47E5-84AA-C5A92DE7B52D}" presName="composite" presStyleCnt="0"/>
      <dgm:spPr/>
    </dgm:pt>
    <dgm:pt modelId="{411AC314-890B-473C-8F7B-00BBB4CA868D}" type="pres">
      <dgm:prSet presAssocID="{6A6B7227-27B9-47E5-84AA-C5A92DE7B52D}" presName="BackAccent" presStyleLbl="bgShp" presStyleIdx="0" presStyleCnt="1"/>
      <dgm:spPr/>
    </dgm:pt>
    <dgm:pt modelId="{2B55EE49-E545-4E5D-8CA7-758ABD8F1037}" type="pres">
      <dgm:prSet presAssocID="{6A6B7227-27B9-47E5-84AA-C5A92DE7B52D}" presName="Accent" presStyleLbl="alignNode1" presStyleIdx="0" presStyleCnt="1"/>
      <dgm:spPr/>
    </dgm:pt>
    <dgm:pt modelId="{AC6BF7C1-5ECF-4DCC-B3E1-4A5389193B8C}" type="pres">
      <dgm:prSet presAssocID="{6A6B7227-27B9-47E5-84AA-C5A92DE7B52D}" presName="Child" presStyleLbl="revTx" presStyleIdx="0" presStyleCnt="2">
        <dgm:presLayoutVars>
          <dgm:chMax val="0"/>
          <dgm:chPref val="0"/>
          <dgm:bulletEnabled val="1"/>
        </dgm:presLayoutVars>
      </dgm:prSet>
      <dgm:spPr/>
    </dgm:pt>
    <dgm:pt modelId="{1764240F-41F9-42D2-8804-52DE5D0083C8}" type="pres">
      <dgm:prSet presAssocID="{6A6B7227-27B9-47E5-84AA-C5A92DE7B52D}" presName="Parent" presStyleLbl="revTx" presStyleIdx="1" presStyleCnt="2">
        <dgm:presLayoutVars>
          <dgm:chMax val="1"/>
          <dgm:chPref val="1"/>
          <dgm:bulletEnabled val="1"/>
        </dgm:presLayoutVars>
      </dgm:prSet>
      <dgm:spPr/>
    </dgm:pt>
  </dgm:ptLst>
  <dgm:cxnLst>
    <dgm:cxn modelId="{9BC18B84-4C34-4A1C-BAD7-7C1FD1B1D5D4}" type="presOf" srcId="{C8C1CB6A-F260-4567-B785-4DF19608FE69}" destId="{D07EAC0B-6C72-4CC9-869C-960EB4C4301F}" srcOrd="0" destOrd="0" presId="urn:microsoft.com/office/officeart/2008/layout/IncreasingCircleProcess"/>
    <dgm:cxn modelId="{F546458C-DB33-4C22-A9DC-AA8CDA99A3FE}" srcId="{869DB8B3-2635-44F7-A7A5-8E3EDFE113AC}" destId="{BE28668A-175F-4F2F-A0BB-FA4C7F636F93}" srcOrd="0" destOrd="0" parTransId="{2F618C83-93EF-4E1E-A28F-A893A827DDF0}" sibTransId="{F3535DAD-BD06-4DC9-9D2D-3D0B186EEE68}"/>
    <dgm:cxn modelId="{86984D9B-3FD3-4314-AB9A-F3969D0A1BF0}" srcId="{869DB8B3-2635-44F7-A7A5-8E3EDFE113AC}" destId="{FB2E87FA-79CF-43B8-86A6-CB56CC035823}" srcOrd="1" destOrd="0" parTransId="{60C983FA-6983-43CC-A920-D13C94492C7F}" sibTransId="{B92CAFA0-E1A0-4B5B-8285-21F072256BFB}"/>
    <dgm:cxn modelId="{7C2F659F-053D-44C5-BB0B-CCAF999B62EB}" type="presOf" srcId="{BE28668A-175F-4F2F-A0BB-FA4C7F636F93}" destId="{AC6BF7C1-5ECF-4DCC-B3E1-4A5389193B8C}" srcOrd="0" destOrd="1" presId="urn:microsoft.com/office/officeart/2008/layout/IncreasingCircleProcess"/>
    <dgm:cxn modelId="{196513A1-6866-4681-ABC0-CB79F63962AD}" type="presOf" srcId="{6A6B7227-27B9-47E5-84AA-C5A92DE7B52D}" destId="{1764240F-41F9-42D2-8804-52DE5D0083C8}" srcOrd="0" destOrd="0" presId="urn:microsoft.com/office/officeart/2008/layout/IncreasingCircleProcess"/>
    <dgm:cxn modelId="{4719A3AA-28F6-4C75-9914-5BC6E8ED61FF}" srcId="{6A6B7227-27B9-47E5-84AA-C5A92DE7B52D}" destId="{869DB8B3-2635-44F7-A7A5-8E3EDFE113AC}" srcOrd="0" destOrd="0" parTransId="{85CFD57E-78EC-4BB5-8ED0-BA47B11F1ED8}" sibTransId="{46143C60-359E-4F2E-BF84-5888478D9583}"/>
    <dgm:cxn modelId="{B975B8BE-0D5F-4450-9C9C-5C763C9D6343}" type="presOf" srcId="{FB2E87FA-79CF-43B8-86A6-CB56CC035823}" destId="{AC6BF7C1-5ECF-4DCC-B3E1-4A5389193B8C}" srcOrd="0" destOrd="2" presId="urn:microsoft.com/office/officeart/2008/layout/IncreasingCircleProcess"/>
    <dgm:cxn modelId="{35A870DC-90F4-4CBC-915D-8F433289F803}" srcId="{C8C1CB6A-F260-4567-B785-4DF19608FE69}" destId="{6A6B7227-27B9-47E5-84AA-C5A92DE7B52D}" srcOrd="0" destOrd="0" parTransId="{FD70CC8D-A7B8-4696-8670-12BC573769AE}" sibTransId="{13A54D5D-4B11-4C9F-AE64-7837221FCD81}"/>
    <dgm:cxn modelId="{C8B348FB-2207-4808-8BA1-6618312C7618}" type="presOf" srcId="{869DB8B3-2635-44F7-A7A5-8E3EDFE113AC}" destId="{AC6BF7C1-5ECF-4DCC-B3E1-4A5389193B8C}" srcOrd="0" destOrd="0" presId="urn:microsoft.com/office/officeart/2008/layout/IncreasingCircleProcess"/>
    <dgm:cxn modelId="{E324F229-A28D-41D1-8CEE-D741510B8102}" type="presParOf" srcId="{D07EAC0B-6C72-4CC9-869C-960EB4C4301F}" destId="{51CE16E3-D93D-4013-A50F-DEE79FAB06EF}" srcOrd="0" destOrd="0" presId="urn:microsoft.com/office/officeart/2008/layout/IncreasingCircleProcess"/>
    <dgm:cxn modelId="{29C8FB15-492E-4CEA-A6CC-F35178F95D37}" type="presParOf" srcId="{51CE16E3-D93D-4013-A50F-DEE79FAB06EF}" destId="{411AC314-890B-473C-8F7B-00BBB4CA868D}" srcOrd="0" destOrd="0" presId="urn:microsoft.com/office/officeart/2008/layout/IncreasingCircleProcess"/>
    <dgm:cxn modelId="{BA5A1BD0-CE62-416F-AF3E-DA3DEDECF660}" type="presParOf" srcId="{51CE16E3-D93D-4013-A50F-DEE79FAB06EF}" destId="{2B55EE49-E545-4E5D-8CA7-758ABD8F1037}" srcOrd="1" destOrd="0" presId="urn:microsoft.com/office/officeart/2008/layout/IncreasingCircleProcess"/>
    <dgm:cxn modelId="{539E569C-23CD-48D4-964E-180B9BA7BB89}" type="presParOf" srcId="{51CE16E3-D93D-4013-A50F-DEE79FAB06EF}" destId="{AC6BF7C1-5ECF-4DCC-B3E1-4A5389193B8C}" srcOrd="2" destOrd="0" presId="urn:microsoft.com/office/officeart/2008/layout/IncreasingCircleProcess"/>
    <dgm:cxn modelId="{63CEEC75-F5EC-47C8-ADE6-3CE97F3BCE5B}" type="presParOf" srcId="{51CE16E3-D93D-4013-A50F-DEE79FAB06EF}" destId="{1764240F-41F9-42D2-8804-52DE5D0083C8}" srcOrd="3" destOrd="0" presId="urn:microsoft.com/office/officeart/2008/layout/IncreasingCircleProcess"/>
  </dgm:cxnLst>
  <dgm:bg/>
  <dgm:whole/>
  <dgm:extLst>
    <a:ext uri="http://schemas.microsoft.com/office/drawing/2008/diagram">
      <dsp:dataModelExt xmlns:dsp="http://schemas.microsoft.com/office/drawing/2008/diagram" relId="rId15" minVer="http://schemas.openxmlformats.org/drawingml/2006/diagram"/>
    </a:ext>
    <a:ext uri="{C62137D5-CB1D-491B-B009-E17868A290BF}">
      <dgm14:recolorImg xmlns:dgm14="http://schemas.microsoft.com/office/drawing/2010/diagram" val="1"/>
    </a:ext>
  </dgm:extLst>
</dgm:dataModel>
</file>

<file path=xl/diagrams/data4.xml><?xml version="1.0" encoding="utf-8"?>
<dgm:dataModel xmlns:dgm="http://schemas.openxmlformats.org/drawingml/2006/diagram" xmlns:a="http://schemas.openxmlformats.org/drawingml/2006/main">
  <dgm:ptLst>
    <dgm:pt modelId="{C8C1CB6A-F260-4567-B785-4DF19608FE69}" type="doc">
      <dgm:prSet loTypeId="urn:microsoft.com/office/officeart/2008/layout/IncreasingCircleProcess" loCatId="list" qsTypeId="urn:microsoft.com/office/officeart/2005/8/quickstyle/simple1" qsCatId="simple" csTypeId="urn:microsoft.com/office/officeart/2005/8/colors/accent4_1" csCatId="accent4" phldr="1"/>
      <dgm:spPr/>
      <dgm:t>
        <a:bodyPr/>
        <a:lstStyle/>
        <a:p>
          <a:endParaRPr lang="en-AU"/>
        </a:p>
      </dgm:t>
    </dgm:pt>
    <dgm:pt modelId="{6A6B7227-27B9-47E5-84AA-C5A92DE7B52D}">
      <dgm:prSet phldrT="[Text]" custT="1"/>
      <dgm:spPr/>
      <dgm:t>
        <a:bodyPr/>
        <a:lstStyle/>
        <a:p>
          <a:r>
            <a:rPr lang="en-AU" sz="2800"/>
            <a:t>Recovery</a:t>
          </a:r>
        </a:p>
      </dgm:t>
    </dgm:pt>
    <dgm:pt modelId="{FD70CC8D-A7B8-4696-8670-12BC573769AE}" type="parTrans" cxnId="{35A870DC-90F4-4CBC-915D-8F433289F803}">
      <dgm:prSet/>
      <dgm:spPr/>
      <dgm:t>
        <a:bodyPr/>
        <a:lstStyle/>
        <a:p>
          <a:endParaRPr lang="en-AU"/>
        </a:p>
      </dgm:t>
    </dgm:pt>
    <dgm:pt modelId="{13A54D5D-4B11-4C9F-AE64-7837221FCD81}" type="sibTrans" cxnId="{35A870DC-90F4-4CBC-915D-8F433289F803}">
      <dgm:prSet/>
      <dgm:spPr/>
      <dgm:t>
        <a:bodyPr/>
        <a:lstStyle/>
        <a:p>
          <a:endParaRPr lang="en-AU"/>
        </a:p>
      </dgm:t>
    </dgm:pt>
    <dgm:pt modelId="{869DB8B3-2635-44F7-A7A5-8E3EDFE113AC}">
      <dgm:prSet phldrT="[Text]"/>
      <dgm:spPr/>
      <dgm:t>
        <a:bodyPr/>
        <a:lstStyle/>
        <a:p>
          <a:r>
            <a:rPr lang="en-AU" u="sng"/>
            <a:t>Tier 1 Applications</a:t>
          </a:r>
        </a:p>
      </dgm:t>
    </dgm:pt>
    <dgm:pt modelId="{85CFD57E-78EC-4BB5-8ED0-BA47B11F1ED8}" type="parTrans" cxnId="{4719A3AA-28F6-4C75-9914-5BC6E8ED61FF}">
      <dgm:prSet/>
      <dgm:spPr/>
      <dgm:t>
        <a:bodyPr/>
        <a:lstStyle/>
        <a:p>
          <a:endParaRPr lang="en-AU"/>
        </a:p>
      </dgm:t>
    </dgm:pt>
    <dgm:pt modelId="{46143C60-359E-4F2E-BF84-5888478D9583}" type="sibTrans" cxnId="{4719A3AA-28F6-4C75-9914-5BC6E8ED61FF}">
      <dgm:prSet/>
      <dgm:spPr/>
      <dgm:t>
        <a:bodyPr/>
        <a:lstStyle/>
        <a:p>
          <a:endParaRPr lang="en-AU"/>
        </a:p>
      </dgm:t>
    </dgm:pt>
    <dgm:pt modelId="{15438A00-1603-4640-815C-A400A49C9993}">
      <dgm:prSet phldrT="[Text]"/>
      <dgm:spPr/>
      <dgm:t>
        <a:bodyPr/>
        <a:lstStyle/>
        <a:p>
          <a:r>
            <a:rPr lang="en-AU" u="none"/>
            <a:t>Use Azure Site Recovery to replicate all the VMs in web tier and middle tier.</a:t>
          </a:r>
        </a:p>
      </dgm:t>
    </dgm:pt>
    <dgm:pt modelId="{5D4483A3-510F-45E5-A8AB-4C933C6D5AD6}" type="parTrans" cxnId="{6037D975-5DFB-4BE0-B5A3-5EC63813562C}">
      <dgm:prSet/>
      <dgm:spPr/>
      <dgm:t>
        <a:bodyPr/>
        <a:lstStyle/>
        <a:p>
          <a:endParaRPr lang="en-AU"/>
        </a:p>
      </dgm:t>
    </dgm:pt>
    <dgm:pt modelId="{5BB5D4A0-135A-46AD-9A64-3694132A50E4}" type="sibTrans" cxnId="{6037D975-5DFB-4BE0-B5A3-5EC63813562C}">
      <dgm:prSet/>
      <dgm:spPr/>
      <dgm:t>
        <a:bodyPr/>
        <a:lstStyle/>
        <a:p>
          <a:endParaRPr lang="en-AU"/>
        </a:p>
      </dgm:t>
    </dgm:pt>
    <dgm:pt modelId="{8C9DDD26-3A88-48FD-A799-DD46B80D1B84}">
      <dgm:prSet/>
      <dgm:spPr/>
      <dgm:t>
        <a:bodyPr/>
        <a:lstStyle/>
        <a:p>
          <a:r>
            <a:rPr lang="en-AU" u="none"/>
            <a:t>Use native replication technologies such as SQL Always On.</a:t>
          </a:r>
        </a:p>
      </dgm:t>
    </dgm:pt>
    <dgm:pt modelId="{663F8F37-9406-4915-B08F-13F42BE8C611}" type="parTrans" cxnId="{53B481F6-3D54-462C-B2F6-EA0A463E91A0}">
      <dgm:prSet/>
      <dgm:spPr/>
      <dgm:t>
        <a:bodyPr/>
        <a:lstStyle/>
        <a:p>
          <a:endParaRPr lang="en-AU"/>
        </a:p>
      </dgm:t>
    </dgm:pt>
    <dgm:pt modelId="{D2197FA4-2DF4-4F51-AAFF-4D368FD7FBC6}" type="sibTrans" cxnId="{53B481F6-3D54-462C-B2F6-EA0A463E91A0}">
      <dgm:prSet/>
      <dgm:spPr/>
      <dgm:t>
        <a:bodyPr/>
        <a:lstStyle/>
        <a:p>
          <a:endParaRPr lang="en-AU"/>
        </a:p>
      </dgm:t>
    </dgm:pt>
    <dgm:pt modelId="{5E072AD2-2817-4A54-A7DD-3ADBF8DCFA09}">
      <dgm:prSet/>
      <dgm:spPr/>
      <dgm:t>
        <a:bodyPr/>
        <a:lstStyle/>
        <a:p>
          <a:r>
            <a:rPr lang="en-AU" u="none"/>
            <a:t>Test the disaster recovery of the complete application including SQL Always On failover using Azure Site Recovery recovery plans and Test failover capabilities.</a:t>
          </a:r>
        </a:p>
      </dgm:t>
    </dgm:pt>
    <dgm:pt modelId="{4BDEE542-467D-46D6-8BE1-AD4FB6653F94}" type="parTrans" cxnId="{32590DBF-70C4-4CF6-96F6-A693BA2BE674}">
      <dgm:prSet/>
      <dgm:spPr/>
      <dgm:t>
        <a:bodyPr/>
        <a:lstStyle/>
        <a:p>
          <a:endParaRPr lang="en-AU"/>
        </a:p>
      </dgm:t>
    </dgm:pt>
    <dgm:pt modelId="{97DD075E-A032-429A-A94F-338EFC4DC7BC}" type="sibTrans" cxnId="{32590DBF-70C4-4CF6-96F6-A693BA2BE674}">
      <dgm:prSet/>
      <dgm:spPr/>
      <dgm:t>
        <a:bodyPr/>
        <a:lstStyle/>
        <a:p>
          <a:endParaRPr lang="en-AU"/>
        </a:p>
      </dgm:t>
    </dgm:pt>
    <dgm:pt modelId="{917AC8E5-F99D-492D-8CCC-027AB44D00FC}">
      <dgm:prSet/>
      <dgm:spPr/>
      <dgm:t>
        <a:bodyPr/>
        <a:lstStyle/>
        <a:p>
          <a:r>
            <a:rPr lang="en-AU" u="none"/>
            <a:t>Perform disaster recovery failover in the event of an extended outage in source region</a:t>
          </a:r>
          <a:br>
            <a:rPr lang="en-AU" u="none"/>
          </a:br>
          <a:endParaRPr lang="en-AU" u="none"/>
        </a:p>
      </dgm:t>
    </dgm:pt>
    <dgm:pt modelId="{9E3AAB6C-FCF7-4332-A685-7A6EC5D8545C}" type="parTrans" cxnId="{3B1E642E-E56D-4A88-A90F-9CEDEF3317CF}">
      <dgm:prSet/>
      <dgm:spPr/>
      <dgm:t>
        <a:bodyPr/>
        <a:lstStyle/>
        <a:p>
          <a:endParaRPr lang="en-AU"/>
        </a:p>
      </dgm:t>
    </dgm:pt>
    <dgm:pt modelId="{27247611-4F07-44E1-8709-B05F13A9B287}" type="sibTrans" cxnId="{3B1E642E-E56D-4A88-A90F-9CEDEF3317CF}">
      <dgm:prSet/>
      <dgm:spPr/>
      <dgm:t>
        <a:bodyPr/>
        <a:lstStyle/>
        <a:p>
          <a:endParaRPr lang="en-AU"/>
        </a:p>
      </dgm:t>
    </dgm:pt>
    <dgm:pt modelId="{7DE2F162-67F6-49B8-BDAE-C22BEE2997DC}">
      <dgm:prSet phldrT="[Text]"/>
      <dgm:spPr/>
      <dgm:t>
        <a:bodyPr/>
        <a:lstStyle/>
        <a:p>
          <a:r>
            <a:rPr lang="en-AU" u="sng"/>
            <a:t>Tier 2-4 Applications</a:t>
          </a:r>
          <a:endParaRPr lang="en-AU" u="none"/>
        </a:p>
      </dgm:t>
    </dgm:pt>
    <dgm:pt modelId="{DAD45E6D-AB49-427B-AFDD-DEF8AE2F104E}" type="parTrans" cxnId="{DBAD2AC2-6B08-41AE-9B2E-ECC560D5BA39}">
      <dgm:prSet/>
      <dgm:spPr/>
      <dgm:t>
        <a:bodyPr/>
        <a:lstStyle/>
        <a:p>
          <a:endParaRPr lang="en-AU"/>
        </a:p>
      </dgm:t>
    </dgm:pt>
    <dgm:pt modelId="{1E4D789D-3855-4C73-981C-C34DA7C8E0BD}" type="sibTrans" cxnId="{DBAD2AC2-6B08-41AE-9B2E-ECC560D5BA39}">
      <dgm:prSet/>
      <dgm:spPr/>
      <dgm:t>
        <a:bodyPr/>
        <a:lstStyle/>
        <a:p>
          <a:endParaRPr lang="en-AU"/>
        </a:p>
      </dgm:t>
    </dgm:pt>
    <dgm:pt modelId="{F141D52C-1E09-4997-8057-F5183DD5D0BE}">
      <dgm:prSet phldrT="[Text]"/>
      <dgm:spPr/>
      <dgm:t>
        <a:bodyPr/>
        <a:lstStyle/>
        <a:p>
          <a:r>
            <a:rPr lang="en-AU" u="none"/>
            <a:t>Use Azure Site Recovery to replicate the database VM.</a:t>
          </a:r>
        </a:p>
      </dgm:t>
    </dgm:pt>
    <dgm:pt modelId="{AB5DBAE1-603F-41F0-B84B-7A8C36600A46}" type="parTrans" cxnId="{0A94C6C0-516D-46BC-BDB0-44B46491F43C}">
      <dgm:prSet/>
      <dgm:spPr/>
      <dgm:t>
        <a:bodyPr/>
        <a:lstStyle/>
        <a:p>
          <a:endParaRPr lang="en-AU"/>
        </a:p>
      </dgm:t>
    </dgm:pt>
    <dgm:pt modelId="{AB0BC522-307E-43FD-BC47-768A18C26034}" type="sibTrans" cxnId="{0A94C6C0-516D-46BC-BDB0-44B46491F43C}">
      <dgm:prSet/>
      <dgm:spPr/>
      <dgm:t>
        <a:bodyPr/>
        <a:lstStyle/>
        <a:p>
          <a:endParaRPr lang="en-AU"/>
        </a:p>
      </dgm:t>
    </dgm:pt>
    <dgm:pt modelId="{626C5606-7545-4F2F-A968-3799140703AD}">
      <dgm:prSet/>
      <dgm:spPr/>
      <dgm:t>
        <a:bodyPr/>
        <a:lstStyle/>
        <a:p>
          <a:r>
            <a:rPr lang="en-AU" u="none"/>
            <a:t>Test the disaster recovery using Test failover and Azure Site Recovery recovery plans.</a:t>
          </a:r>
        </a:p>
      </dgm:t>
    </dgm:pt>
    <dgm:pt modelId="{4A7181CB-872A-47E8-A680-9FD91688CB7F}" type="parTrans" cxnId="{C911C115-4AD2-4A47-B18F-E10968E15D26}">
      <dgm:prSet/>
      <dgm:spPr/>
      <dgm:t>
        <a:bodyPr/>
        <a:lstStyle/>
        <a:p>
          <a:endParaRPr lang="en-AU"/>
        </a:p>
      </dgm:t>
    </dgm:pt>
    <dgm:pt modelId="{39E21E5A-89E8-4045-A194-246AE22C7425}" type="sibTrans" cxnId="{C911C115-4AD2-4A47-B18F-E10968E15D26}">
      <dgm:prSet/>
      <dgm:spPr/>
      <dgm:t>
        <a:bodyPr/>
        <a:lstStyle/>
        <a:p>
          <a:endParaRPr lang="en-AU"/>
        </a:p>
      </dgm:t>
    </dgm:pt>
    <dgm:pt modelId="{BA4D951F-0D62-41ED-9DC7-20F0C462C1B5}">
      <dgm:prSet/>
      <dgm:spPr/>
      <dgm:t>
        <a:bodyPr/>
        <a:lstStyle/>
        <a:p>
          <a:r>
            <a:rPr lang="en-AU" u="none"/>
            <a:t>Perform disaster recovery failover in the event of an extended outage in source region.</a:t>
          </a:r>
        </a:p>
      </dgm:t>
    </dgm:pt>
    <dgm:pt modelId="{5B6B386A-97EC-416F-89B9-D4EF218D563E}" type="parTrans" cxnId="{B7E00248-8CDD-46C0-BCE3-B1CD3F974C31}">
      <dgm:prSet/>
      <dgm:spPr/>
      <dgm:t>
        <a:bodyPr/>
        <a:lstStyle/>
        <a:p>
          <a:endParaRPr lang="en-AU"/>
        </a:p>
      </dgm:t>
    </dgm:pt>
    <dgm:pt modelId="{A9018782-762B-4858-A3EC-8BB1A5E01793}" type="sibTrans" cxnId="{B7E00248-8CDD-46C0-BCE3-B1CD3F974C31}">
      <dgm:prSet/>
      <dgm:spPr/>
      <dgm:t>
        <a:bodyPr/>
        <a:lstStyle/>
        <a:p>
          <a:endParaRPr lang="en-AU"/>
        </a:p>
      </dgm:t>
    </dgm:pt>
    <dgm:pt modelId="{DDECF968-923B-4F56-AA81-7869CC9FECAA}">
      <dgm:prSet/>
      <dgm:spPr/>
      <dgm:t>
        <a:bodyPr/>
        <a:lstStyle/>
        <a:p>
          <a:r>
            <a:rPr lang="en-AU" u="none"/>
            <a:t>Azure Backup's Cross Region Restore (CRR) lets you restore Azure VMs in a secondary paired region. You can restore your data in the secondary region anytime, during partial or full outages, or at the time you choose.</a:t>
          </a:r>
        </a:p>
      </dgm:t>
    </dgm:pt>
    <dgm:pt modelId="{18F77314-5F52-4F7B-B8EB-02063EA6C0FD}" type="parTrans" cxnId="{5EBC2DE1-D99C-40EB-828E-D6BBF821AACC}">
      <dgm:prSet/>
      <dgm:spPr/>
      <dgm:t>
        <a:bodyPr/>
        <a:lstStyle/>
        <a:p>
          <a:endParaRPr lang="en-AU"/>
        </a:p>
      </dgm:t>
    </dgm:pt>
    <dgm:pt modelId="{EA3925EE-568E-4D92-A470-CA2998D539DE}" type="sibTrans" cxnId="{5EBC2DE1-D99C-40EB-828E-D6BBF821AACC}">
      <dgm:prSet/>
      <dgm:spPr/>
      <dgm:t>
        <a:bodyPr/>
        <a:lstStyle/>
        <a:p>
          <a:endParaRPr lang="en-AU"/>
        </a:p>
      </dgm:t>
    </dgm:pt>
    <dgm:pt modelId="{D07EAC0B-6C72-4CC9-869C-960EB4C4301F}" type="pres">
      <dgm:prSet presAssocID="{C8C1CB6A-F260-4567-B785-4DF19608FE69}" presName="Name0" presStyleCnt="0">
        <dgm:presLayoutVars>
          <dgm:chMax val="7"/>
          <dgm:chPref val="7"/>
          <dgm:dir/>
          <dgm:animOne val="branch"/>
          <dgm:animLvl val="lvl"/>
        </dgm:presLayoutVars>
      </dgm:prSet>
      <dgm:spPr/>
    </dgm:pt>
    <dgm:pt modelId="{51CE16E3-D93D-4013-A50F-DEE79FAB06EF}" type="pres">
      <dgm:prSet presAssocID="{6A6B7227-27B9-47E5-84AA-C5A92DE7B52D}" presName="composite" presStyleCnt="0"/>
      <dgm:spPr/>
    </dgm:pt>
    <dgm:pt modelId="{411AC314-890B-473C-8F7B-00BBB4CA868D}" type="pres">
      <dgm:prSet presAssocID="{6A6B7227-27B9-47E5-84AA-C5A92DE7B52D}" presName="BackAccent" presStyleLbl="bgShp" presStyleIdx="0" presStyleCnt="1"/>
      <dgm:spPr/>
    </dgm:pt>
    <dgm:pt modelId="{2B55EE49-E545-4E5D-8CA7-758ABD8F1037}" type="pres">
      <dgm:prSet presAssocID="{6A6B7227-27B9-47E5-84AA-C5A92DE7B52D}" presName="Accent" presStyleLbl="alignNode1" presStyleIdx="0" presStyleCnt="1"/>
      <dgm:spPr/>
    </dgm:pt>
    <dgm:pt modelId="{AC6BF7C1-5ECF-4DCC-B3E1-4A5389193B8C}" type="pres">
      <dgm:prSet presAssocID="{6A6B7227-27B9-47E5-84AA-C5A92DE7B52D}" presName="Child" presStyleLbl="revTx" presStyleIdx="0" presStyleCnt="2">
        <dgm:presLayoutVars>
          <dgm:chMax val="0"/>
          <dgm:chPref val="0"/>
          <dgm:bulletEnabled val="1"/>
        </dgm:presLayoutVars>
      </dgm:prSet>
      <dgm:spPr/>
    </dgm:pt>
    <dgm:pt modelId="{1764240F-41F9-42D2-8804-52DE5D0083C8}" type="pres">
      <dgm:prSet presAssocID="{6A6B7227-27B9-47E5-84AA-C5A92DE7B52D}" presName="Parent" presStyleLbl="revTx" presStyleIdx="1" presStyleCnt="2">
        <dgm:presLayoutVars>
          <dgm:chMax val="1"/>
          <dgm:chPref val="1"/>
          <dgm:bulletEnabled val="1"/>
        </dgm:presLayoutVars>
      </dgm:prSet>
      <dgm:spPr/>
    </dgm:pt>
  </dgm:ptLst>
  <dgm:cxnLst>
    <dgm:cxn modelId="{7858CA03-BF8C-4868-8D21-50CA47C959AE}" type="presOf" srcId="{DDECF968-923B-4F56-AA81-7869CC9FECAA}" destId="{AC6BF7C1-5ECF-4DCC-B3E1-4A5389193B8C}" srcOrd="0" destOrd="9" presId="urn:microsoft.com/office/officeart/2008/layout/IncreasingCircleProcess"/>
    <dgm:cxn modelId="{C911C115-4AD2-4A47-B18F-E10968E15D26}" srcId="{7DE2F162-67F6-49B8-BDAE-C22BEE2997DC}" destId="{626C5606-7545-4F2F-A968-3799140703AD}" srcOrd="1" destOrd="0" parTransId="{4A7181CB-872A-47E8-A680-9FD91688CB7F}" sibTransId="{39E21E5A-89E8-4045-A194-246AE22C7425}"/>
    <dgm:cxn modelId="{4EE9FF1A-021A-4D7A-84CB-7167A86A43C3}" type="presOf" srcId="{7DE2F162-67F6-49B8-BDAE-C22BEE2997DC}" destId="{AC6BF7C1-5ECF-4DCC-B3E1-4A5389193B8C}" srcOrd="0" destOrd="5" presId="urn:microsoft.com/office/officeart/2008/layout/IncreasingCircleProcess"/>
    <dgm:cxn modelId="{3BE7CE1E-1E8A-4F50-A147-0E683E4E6F16}" type="presOf" srcId="{BA4D951F-0D62-41ED-9DC7-20F0C462C1B5}" destId="{AC6BF7C1-5ECF-4DCC-B3E1-4A5389193B8C}" srcOrd="0" destOrd="8" presId="urn:microsoft.com/office/officeart/2008/layout/IncreasingCircleProcess"/>
    <dgm:cxn modelId="{04A1A023-42D7-483E-BBFB-A94F96509709}" type="presOf" srcId="{8C9DDD26-3A88-48FD-A799-DD46B80D1B84}" destId="{AC6BF7C1-5ECF-4DCC-B3E1-4A5389193B8C}" srcOrd="0" destOrd="2" presId="urn:microsoft.com/office/officeart/2008/layout/IncreasingCircleProcess"/>
    <dgm:cxn modelId="{3B1E642E-E56D-4A88-A90F-9CEDEF3317CF}" srcId="{869DB8B3-2635-44F7-A7A5-8E3EDFE113AC}" destId="{917AC8E5-F99D-492D-8CCC-027AB44D00FC}" srcOrd="3" destOrd="0" parTransId="{9E3AAB6C-FCF7-4332-A685-7A6EC5D8545C}" sibTransId="{27247611-4F07-44E1-8709-B05F13A9B287}"/>
    <dgm:cxn modelId="{1EE08038-863F-44AA-A72E-2EF34231A93C}" type="presOf" srcId="{F141D52C-1E09-4997-8057-F5183DD5D0BE}" destId="{AC6BF7C1-5ECF-4DCC-B3E1-4A5389193B8C}" srcOrd="0" destOrd="6" presId="urn:microsoft.com/office/officeart/2008/layout/IncreasingCircleProcess"/>
    <dgm:cxn modelId="{7969885B-28A4-4694-9CE1-85AF0A413F7E}" type="presOf" srcId="{15438A00-1603-4640-815C-A400A49C9993}" destId="{AC6BF7C1-5ECF-4DCC-B3E1-4A5389193B8C}" srcOrd="0" destOrd="1" presId="urn:microsoft.com/office/officeart/2008/layout/IncreasingCircleProcess"/>
    <dgm:cxn modelId="{B7E00248-8CDD-46C0-BCE3-B1CD3F974C31}" srcId="{7DE2F162-67F6-49B8-BDAE-C22BEE2997DC}" destId="{BA4D951F-0D62-41ED-9DC7-20F0C462C1B5}" srcOrd="2" destOrd="0" parTransId="{5B6B386A-97EC-416F-89B9-D4EF218D563E}" sibTransId="{A9018782-762B-4858-A3EC-8BB1A5E01793}"/>
    <dgm:cxn modelId="{82D3A872-158A-4871-AA7B-BA621BCDCA7C}" type="presOf" srcId="{917AC8E5-F99D-492D-8CCC-027AB44D00FC}" destId="{AC6BF7C1-5ECF-4DCC-B3E1-4A5389193B8C}" srcOrd="0" destOrd="4" presId="urn:microsoft.com/office/officeart/2008/layout/IncreasingCircleProcess"/>
    <dgm:cxn modelId="{6037D975-5DFB-4BE0-B5A3-5EC63813562C}" srcId="{869DB8B3-2635-44F7-A7A5-8E3EDFE113AC}" destId="{15438A00-1603-4640-815C-A400A49C9993}" srcOrd="0" destOrd="0" parTransId="{5D4483A3-510F-45E5-A8AB-4C933C6D5AD6}" sibTransId="{5BB5D4A0-135A-46AD-9A64-3694132A50E4}"/>
    <dgm:cxn modelId="{5D940A84-5961-4B0C-88A9-36D15F148847}" type="presOf" srcId="{5E072AD2-2817-4A54-A7DD-3ADBF8DCFA09}" destId="{AC6BF7C1-5ECF-4DCC-B3E1-4A5389193B8C}" srcOrd="0" destOrd="3" presId="urn:microsoft.com/office/officeart/2008/layout/IncreasingCircleProcess"/>
    <dgm:cxn modelId="{9BC18B84-4C34-4A1C-BAD7-7C1FD1B1D5D4}" type="presOf" srcId="{C8C1CB6A-F260-4567-B785-4DF19608FE69}" destId="{D07EAC0B-6C72-4CC9-869C-960EB4C4301F}" srcOrd="0" destOrd="0" presId="urn:microsoft.com/office/officeart/2008/layout/IncreasingCircleProcess"/>
    <dgm:cxn modelId="{196513A1-6866-4681-ABC0-CB79F63962AD}" type="presOf" srcId="{6A6B7227-27B9-47E5-84AA-C5A92DE7B52D}" destId="{1764240F-41F9-42D2-8804-52DE5D0083C8}" srcOrd="0" destOrd="0" presId="urn:microsoft.com/office/officeart/2008/layout/IncreasingCircleProcess"/>
    <dgm:cxn modelId="{4719A3AA-28F6-4C75-9914-5BC6E8ED61FF}" srcId="{6A6B7227-27B9-47E5-84AA-C5A92DE7B52D}" destId="{869DB8B3-2635-44F7-A7A5-8E3EDFE113AC}" srcOrd="0" destOrd="0" parTransId="{85CFD57E-78EC-4BB5-8ED0-BA47B11F1ED8}" sibTransId="{46143C60-359E-4F2E-BF84-5888478D9583}"/>
    <dgm:cxn modelId="{32590DBF-70C4-4CF6-96F6-A693BA2BE674}" srcId="{869DB8B3-2635-44F7-A7A5-8E3EDFE113AC}" destId="{5E072AD2-2817-4A54-A7DD-3ADBF8DCFA09}" srcOrd="2" destOrd="0" parTransId="{4BDEE542-467D-46D6-8BE1-AD4FB6653F94}" sibTransId="{97DD075E-A032-429A-A94F-338EFC4DC7BC}"/>
    <dgm:cxn modelId="{0A94C6C0-516D-46BC-BDB0-44B46491F43C}" srcId="{7DE2F162-67F6-49B8-BDAE-C22BEE2997DC}" destId="{F141D52C-1E09-4997-8057-F5183DD5D0BE}" srcOrd="0" destOrd="0" parTransId="{AB5DBAE1-603F-41F0-B84B-7A8C36600A46}" sibTransId="{AB0BC522-307E-43FD-BC47-768A18C26034}"/>
    <dgm:cxn modelId="{DBAD2AC2-6B08-41AE-9B2E-ECC560D5BA39}" srcId="{6A6B7227-27B9-47E5-84AA-C5A92DE7B52D}" destId="{7DE2F162-67F6-49B8-BDAE-C22BEE2997DC}" srcOrd="1" destOrd="0" parTransId="{DAD45E6D-AB49-427B-AFDD-DEF8AE2F104E}" sibTransId="{1E4D789D-3855-4C73-981C-C34DA7C8E0BD}"/>
    <dgm:cxn modelId="{01AB8EC7-EB17-4BCC-BF50-2721407EF433}" type="presOf" srcId="{626C5606-7545-4F2F-A968-3799140703AD}" destId="{AC6BF7C1-5ECF-4DCC-B3E1-4A5389193B8C}" srcOrd="0" destOrd="7" presId="urn:microsoft.com/office/officeart/2008/layout/IncreasingCircleProcess"/>
    <dgm:cxn modelId="{35A870DC-90F4-4CBC-915D-8F433289F803}" srcId="{C8C1CB6A-F260-4567-B785-4DF19608FE69}" destId="{6A6B7227-27B9-47E5-84AA-C5A92DE7B52D}" srcOrd="0" destOrd="0" parTransId="{FD70CC8D-A7B8-4696-8670-12BC573769AE}" sibTransId="{13A54D5D-4B11-4C9F-AE64-7837221FCD81}"/>
    <dgm:cxn modelId="{5EBC2DE1-D99C-40EB-828E-D6BBF821AACC}" srcId="{7DE2F162-67F6-49B8-BDAE-C22BEE2997DC}" destId="{DDECF968-923B-4F56-AA81-7869CC9FECAA}" srcOrd="3" destOrd="0" parTransId="{18F77314-5F52-4F7B-B8EB-02063EA6C0FD}" sibTransId="{EA3925EE-568E-4D92-A470-CA2998D539DE}"/>
    <dgm:cxn modelId="{53B481F6-3D54-462C-B2F6-EA0A463E91A0}" srcId="{869DB8B3-2635-44F7-A7A5-8E3EDFE113AC}" destId="{8C9DDD26-3A88-48FD-A799-DD46B80D1B84}" srcOrd="1" destOrd="0" parTransId="{663F8F37-9406-4915-B08F-13F42BE8C611}" sibTransId="{D2197FA4-2DF4-4F51-AAFF-4D368FD7FBC6}"/>
    <dgm:cxn modelId="{C8B348FB-2207-4808-8BA1-6618312C7618}" type="presOf" srcId="{869DB8B3-2635-44F7-A7A5-8E3EDFE113AC}" destId="{AC6BF7C1-5ECF-4DCC-B3E1-4A5389193B8C}" srcOrd="0" destOrd="0" presId="urn:microsoft.com/office/officeart/2008/layout/IncreasingCircleProcess"/>
    <dgm:cxn modelId="{E324F229-A28D-41D1-8CEE-D741510B8102}" type="presParOf" srcId="{D07EAC0B-6C72-4CC9-869C-960EB4C4301F}" destId="{51CE16E3-D93D-4013-A50F-DEE79FAB06EF}" srcOrd="0" destOrd="0" presId="urn:microsoft.com/office/officeart/2008/layout/IncreasingCircleProcess"/>
    <dgm:cxn modelId="{29C8FB15-492E-4CEA-A6CC-F35178F95D37}" type="presParOf" srcId="{51CE16E3-D93D-4013-A50F-DEE79FAB06EF}" destId="{411AC314-890B-473C-8F7B-00BBB4CA868D}" srcOrd="0" destOrd="0" presId="urn:microsoft.com/office/officeart/2008/layout/IncreasingCircleProcess"/>
    <dgm:cxn modelId="{BA5A1BD0-CE62-416F-AF3E-DA3DEDECF660}" type="presParOf" srcId="{51CE16E3-D93D-4013-A50F-DEE79FAB06EF}" destId="{2B55EE49-E545-4E5D-8CA7-758ABD8F1037}" srcOrd="1" destOrd="0" presId="urn:microsoft.com/office/officeart/2008/layout/IncreasingCircleProcess"/>
    <dgm:cxn modelId="{539E569C-23CD-48D4-964E-180B9BA7BB89}" type="presParOf" srcId="{51CE16E3-D93D-4013-A50F-DEE79FAB06EF}" destId="{AC6BF7C1-5ECF-4DCC-B3E1-4A5389193B8C}" srcOrd="2" destOrd="0" presId="urn:microsoft.com/office/officeart/2008/layout/IncreasingCircleProcess"/>
    <dgm:cxn modelId="{63CEEC75-F5EC-47C8-ADE6-3CE97F3BCE5B}" type="presParOf" srcId="{51CE16E3-D93D-4013-A50F-DEE79FAB06EF}" destId="{1764240F-41F9-42D2-8804-52DE5D0083C8}" srcOrd="3" destOrd="0" presId="urn:microsoft.com/office/officeart/2008/layout/IncreasingCircleProcess"/>
  </dgm:cxnLst>
  <dgm:bg/>
  <dgm:whole/>
  <dgm:extLst>
    <a:ext uri="http://schemas.microsoft.com/office/drawing/2008/diagram">
      <dsp:dataModelExt xmlns:dsp="http://schemas.microsoft.com/office/drawing/2008/diagram" relId="rId20" minVer="http://schemas.openxmlformats.org/drawingml/2006/diagram"/>
    </a:ext>
    <a:ext uri="{C62137D5-CB1D-491B-B009-E17868A290BF}">
      <dgm14:recolorImg xmlns:dgm14="http://schemas.microsoft.com/office/drawing/2010/diagram" val="1"/>
    </a:ext>
  </dgm:extLst>
</dgm:dataModel>
</file>

<file path=xl/diagrams/data5.xml><?xml version="1.0" encoding="utf-8"?>
<dgm:dataModel xmlns:dgm="http://schemas.openxmlformats.org/drawingml/2006/diagram" xmlns:a="http://schemas.openxmlformats.org/drawingml/2006/main">
  <dgm:ptLst>
    <dgm:pt modelId="{C8C1CB6A-F260-4567-B785-4DF19608FE69}" type="doc">
      <dgm:prSet loTypeId="urn:microsoft.com/office/officeart/2008/layout/IncreasingCircleProcess" loCatId="list" qsTypeId="urn:microsoft.com/office/officeart/2005/8/quickstyle/simple1" qsCatId="simple" csTypeId="urn:microsoft.com/office/officeart/2005/8/colors/accent4_1" csCatId="accent4" phldr="1"/>
      <dgm:spPr/>
      <dgm:t>
        <a:bodyPr/>
        <a:lstStyle/>
        <a:p>
          <a:endParaRPr lang="en-AU"/>
        </a:p>
      </dgm:t>
    </dgm:pt>
    <dgm:pt modelId="{6A6B7227-27B9-47E5-84AA-C5A92DE7B52D}">
      <dgm:prSet phldrT="[Text]" custT="1"/>
      <dgm:spPr/>
      <dgm:t>
        <a:bodyPr/>
        <a:lstStyle/>
        <a:p>
          <a:r>
            <a:rPr lang="en-AU" sz="2800"/>
            <a:t>Availability</a:t>
          </a:r>
        </a:p>
      </dgm:t>
    </dgm:pt>
    <dgm:pt modelId="{FD70CC8D-A7B8-4696-8670-12BC573769AE}" type="parTrans" cxnId="{35A870DC-90F4-4CBC-915D-8F433289F803}">
      <dgm:prSet/>
      <dgm:spPr/>
      <dgm:t>
        <a:bodyPr/>
        <a:lstStyle/>
        <a:p>
          <a:endParaRPr lang="en-AU"/>
        </a:p>
      </dgm:t>
    </dgm:pt>
    <dgm:pt modelId="{13A54D5D-4B11-4C9F-AE64-7837221FCD81}" type="sibTrans" cxnId="{35A870DC-90F4-4CBC-915D-8F433289F803}">
      <dgm:prSet/>
      <dgm:spPr/>
      <dgm:t>
        <a:bodyPr/>
        <a:lstStyle/>
        <a:p>
          <a:endParaRPr lang="en-AU"/>
        </a:p>
      </dgm:t>
    </dgm:pt>
    <dgm:pt modelId="{869DB8B3-2635-44F7-A7A5-8E3EDFE113AC}">
      <dgm:prSet phldrT="[Text]"/>
      <dgm:spPr/>
      <dgm:t>
        <a:bodyPr/>
        <a:lstStyle/>
        <a:p>
          <a:r>
            <a:rPr lang="en-AU" u="sng"/>
            <a:t>Tier 1-2 Applications</a:t>
          </a:r>
        </a:p>
      </dgm:t>
    </dgm:pt>
    <dgm:pt modelId="{85CFD57E-78EC-4BB5-8ED0-BA47B11F1ED8}" type="parTrans" cxnId="{4719A3AA-28F6-4C75-9914-5BC6E8ED61FF}">
      <dgm:prSet/>
      <dgm:spPr/>
      <dgm:t>
        <a:bodyPr/>
        <a:lstStyle/>
        <a:p>
          <a:endParaRPr lang="en-AU"/>
        </a:p>
      </dgm:t>
    </dgm:pt>
    <dgm:pt modelId="{46143C60-359E-4F2E-BF84-5888478D9583}" type="sibTrans" cxnId="{4719A3AA-28F6-4C75-9914-5BC6E8ED61FF}">
      <dgm:prSet/>
      <dgm:spPr/>
      <dgm:t>
        <a:bodyPr/>
        <a:lstStyle/>
        <a:p>
          <a:endParaRPr lang="en-AU"/>
        </a:p>
      </dgm:t>
    </dgm:pt>
    <dgm:pt modelId="{15438A00-1603-4640-815C-A400A49C9993}">
      <dgm:prSet phldrT="[Text]"/>
      <dgm:spPr/>
      <dgm:t>
        <a:bodyPr/>
        <a:lstStyle/>
        <a:p>
          <a:r>
            <a:rPr lang="en-AU" u="none"/>
            <a:t>Build redundancy by deploying two or more instances across availability zones within a region.</a:t>
          </a:r>
          <a:br>
            <a:rPr lang="en-AU" u="none"/>
          </a:br>
          <a:endParaRPr lang="en-AU" u="none"/>
        </a:p>
      </dgm:t>
    </dgm:pt>
    <dgm:pt modelId="{5D4483A3-510F-45E5-A8AB-4C933C6D5AD6}" type="parTrans" cxnId="{6037D975-5DFB-4BE0-B5A3-5EC63813562C}">
      <dgm:prSet/>
      <dgm:spPr/>
      <dgm:t>
        <a:bodyPr/>
        <a:lstStyle/>
        <a:p>
          <a:endParaRPr lang="en-AU"/>
        </a:p>
      </dgm:t>
    </dgm:pt>
    <dgm:pt modelId="{5BB5D4A0-135A-46AD-9A64-3694132A50E4}" type="sibTrans" cxnId="{6037D975-5DFB-4BE0-B5A3-5EC63813562C}">
      <dgm:prSet/>
      <dgm:spPr/>
      <dgm:t>
        <a:bodyPr/>
        <a:lstStyle/>
        <a:p>
          <a:endParaRPr lang="en-AU"/>
        </a:p>
      </dgm:t>
    </dgm:pt>
    <dgm:pt modelId="{7DE2F162-67F6-49B8-BDAE-C22BEE2997DC}">
      <dgm:prSet phldrT="[Text]"/>
      <dgm:spPr/>
      <dgm:t>
        <a:bodyPr/>
        <a:lstStyle/>
        <a:p>
          <a:r>
            <a:rPr lang="en-AU" u="sng"/>
            <a:t>Tier 3-4 Applications</a:t>
          </a:r>
          <a:endParaRPr lang="en-AU" u="none"/>
        </a:p>
      </dgm:t>
    </dgm:pt>
    <dgm:pt modelId="{DAD45E6D-AB49-427B-AFDD-DEF8AE2F104E}" type="parTrans" cxnId="{DBAD2AC2-6B08-41AE-9B2E-ECC560D5BA39}">
      <dgm:prSet/>
      <dgm:spPr/>
      <dgm:t>
        <a:bodyPr/>
        <a:lstStyle/>
        <a:p>
          <a:endParaRPr lang="en-AU"/>
        </a:p>
      </dgm:t>
    </dgm:pt>
    <dgm:pt modelId="{1E4D789D-3855-4C73-981C-C34DA7C8E0BD}" type="sibTrans" cxnId="{DBAD2AC2-6B08-41AE-9B2E-ECC560D5BA39}">
      <dgm:prSet/>
      <dgm:spPr/>
      <dgm:t>
        <a:bodyPr/>
        <a:lstStyle/>
        <a:p>
          <a:endParaRPr lang="en-AU"/>
        </a:p>
      </dgm:t>
    </dgm:pt>
    <dgm:pt modelId="{F141D52C-1E09-4997-8057-F5183DD5D0BE}">
      <dgm:prSet phldrT="[Text]"/>
      <dgm:spPr/>
      <dgm:t>
        <a:bodyPr/>
        <a:lstStyle/>
        <a:p>
          <a:r>
            <a:rPr lang="en-AU" u="none"/>
            <a:t>Use ready to use templates to deploy another instance using backup copies in another availability zone.</a:t>
          </a:r>
        </a:p>
      </dgm:t>
    </dgm:pt>
    <dgm:pt modelId="{AB5DBAE1-603F-41F0-B84B-7A8C36600A46}" type="parTrans" cxnId="{0A94C6C0-516D-46BC-BDB0-44B46491F43C}">
      <dgm:prSet/>
      <dgm:spPr/>
      <dgm:t>
        <a:bodyPr/>
        <a:lstStyle/>
        <a:p>
          <a:endParaRPr lang="en-AU"/>
        </a:p>
      </dgm:t>
    </dgm:pt>
    <dgm:pt modelId="{AB0BC522-307E-43FD-BC47-768A18C26034}" type="sibTrans" cxnId="{0A94C6C0-516D-46BC-BDB0-44B46491F43C}">
      <dgm:prSet/>
      <dgm:spPr/>
      <dgm:t>
        <a:bodyPr/>
        <a:lstStyle/>
        <a:p>
          <a:endParaRPr lang="en-AU"/>
        </a:p>
      </dgm:t>
    </dgm:pt>
    <dgm:pt modelId="{DDECF968-923B-4F56-AA81-7869CC9FECAA}">
      <dgm:prSet/>
      <dgm:spPr/>
      <dgm:t>
        <a:bodyPr/>
        <a:lstStyle/>
        <a:p>
          <a:endParaRPr lang="en-AU" u="none"/>
        </a:p>
      </dgm:t>
    </dgm:pt>
    <dgm:pt modelId="{18F77314-5F52-4F7B-B8EB-02063EA6C0FD}" type="parTrans" cxnId="{5EBC2DE1-D99C-40EB-828E-D6BBF821AACC}">
      <dgm:prSet/>
      <dgm:spPr/>
      <dgm:t>
        <a:bodyPr/>
        <a:lstStyle/>
        <a:p>
          <a:endParaRPr lang="en-AU"/>
        </a:p>
      </dgm:t>
    </dgm:pt>
    <dgm:pt modelId="{EA3925EE-568E-4D92-A470-CA2998D539DE}" type="sibTrans" cxnId="{5EBC2DE1-D99C-40EB-828E-D6BBF821AACC}">
      <dgm:prSet/>
      <dgm:spPr/>
      <dgm:t>
        <a:bodyPr/>
        <a:lstStyle/>
        <a:p>
          <a:endParaRPr lang="en-AU"/>
        </a:p>
      </dgm:t>
    </dgm:pt>
    <dgm:pt modelId="{2AD183A2-7382-4D26-9BB6-F3A7696C22EA}">
      <dgm:prSet/>
      <dgm:spPr/>
      <dgm:t>
        <a:bodyPr/>
        <a:lstStyle/>
        <a:p>
          <a:r>
            <a:rPr lang="en-AU" u="none"/>
            <a:t>Test templates by deploying VMs into a test subnet or a test virtual network in another zone.</a:t>
          </a:r>
        </a:p>
      </dgm:t>
    </dgm:pt>
    <dgm:pt modelId="{037CF7E9-0D60-48F1-9883-20EE988F33E5}" type="parTrans" cxnId="{B3DFF0CD-9B2D-4DDB-8DBB-FC8FF6D1DCE3}">
      <dgm:prSet/>
      <dgm:spPr/>
      <dgm:t>
        <a:bodyPr/>
        <a:lstStyle/>
        <a:p>
          <a:endParaRPr lang="en-AU"/>
        </a:p>
      </dgm:t>
    </dgm:pt>
    <dgm:pt modelId="{875A3B36-D090-47F9-A415-4E3412CD4A49}" type="sibTrans" cxnId="{B3DFF0CD-9B2D-4DDB-8DBB-FC8FF6D1DCE3}">
      <dgm:prSet/>
      <dgm:spPr/>
      <dgm:t>
        <a:bodyPr/>
        <a:lstStyle/>
        <a:p>
          <a:endParaRPr lang="en-AU"/>
        </a:p>
      </dgm:t>
    </dgm:pt>
    <dgm:pt modelId="{D07EAC0B-6C72-4CC9-869C-960EB4C4301F}" type="pres">
      <dgm:prSet presAssocID="{C8C1CB6A-F260-4567-B785-4DF19608FE69}" presName="Name0" presStyleCnt="0">
        <dgm:presLayoutVars>
          <dgm:chMax val="7"/>
          <dgm:chPref val="7"/>
          <dgm:dir/>
          <dgm:animOne val="branch"/>
          <dgm:animLvl val="lvl"/>
        </dgm:presLayoutVars>
      </dgm:prSet>
      <dgm:spPr/>
    </dgm:pt>
    <dgm:pt modelId="{51CE16E3-D93D-4013-A50F-DEE79FAB06EF}" type="pres">
      <dgm:prSet presAssocID="{6A6B7227-27B9-47E5-84AA-C5A92DE7B52D}" presName="composite" presStyleCnt="0"/>
      <dgm:spPr/>
    </dgm:pt>
    <dgm:pt modelId="{411AC314-890B-473C-8F7B-00BBB4CA868D}" type="pres">
      <dgm:prSet presAssocID="{6A6B7227-27B9-47E5-84AA-C5A92DE7B52D}" presName="BackAccent" presStyleLbl="bgShp" presStyleIdx="0" presStyleCnt="1"/>
      <dgm:spPr/>
    </dgm:pt>
    <dgm:pt modelId="{2B55EE49-E545-4E5D-8CA7-758ABD8F1037}" type="pres">
      <dgm:prSet presAssocID="{6A6B7227-27B9-47E5-84AA-C5A92DE7B52D}" presName="Accent" presStyleLbl="alignNode1" presStyleIdx="0" presStyleCnt="1"/>
      <dgm:spPr/>
    </dgm:pt>
    <dgm:pt modelId="{AC6BF7C1-5ECF-4DCC-B3E1-4A5389193B8C}" type="pres">
      <dgm:prSet presAssocID="{6A6B7227-27B9-47E5-84AA-C5A92DE7B52D}" presName="Child" presStyleLbl="revTx" presStyleIdx="0" presStyleCnt="2">
        <dgm:presLayoutVars>
          <dgm:chMax val="0"/>
          <dgm:chPref val="0"/>
          <dgm:bulletEnabled val="1"/>
        </dgm:presLayoutVars>
      </dgm:prSet>
      <dgm:spPr/>
    </dgm:pt>
    <dgm:pt modelId="{1764240F-41F9-42D2-8804-52DE5D0083C8}" type="pres">
      <dgm:prSet presAssocID="{6A6B7227-27B9-47E5-84AA-C5A92DE7B52D}" presName="Parent" presStyleLbl="revTx" presStyleIdx="1" presStyleCnt="2">
        <dgm:presLayoutVars>
          <dgm:chMax val="1"/>
          <dgm:chPref val="1"/>
          <dgm:bulletEnabled val="1"/>
        </dgm:presLayoutVars>
      </dgm:prSet>
      <dgm:spPr/>
    </dgm:pt>
  </dgm:ptLst>
  <dgm:cxnLst>
    <dgm:cxn modelId="{7858CA03-BF8C-4868-8D21-50CA47C959AE}" type="presOf" srcId="{DDECF968-923B-4F56-AA81-7869CC9FECAA}" destId="{AC6BF7C1-5ECF-4DCC-B3E1-4A5389193B8C}" srcOrd="0" destOrd="5" presId="urn:microsoft.com/office/officeart/2008/layout/IncreasingCircleProcess"/>
    <dgm:cxn modelId="{4EE9FF1A-021A-4D7A-84CB-7167A86A43C3}" type="presOf" srcId="{7DE2F162-67F6-49B8-BDAE-C22BEE2997DC}" destId="{AC6BF7C1-5ECF-4DCC-B3E1-4A5389193B8C}" srcOrd="0" destOrd="2" presId="urn:microsoft.com/office/officeart/2008/layout/IncreasingCircleProcess"/>
    <dgm:cxn modelId="{1EE08038-863F-44AA-A72E-2EF34231A93C}" type="presOf" srcId="{F141D52C-1E09-4997-8057-F5183DD5D0BE}" destId="{AC6BF7C1-5ECF-4DCC-B3E1-4A5389193B8C}" srcOrd="0" destOrd="3" presId="urn:microsoft.com/office/officeart/2008/layout/IncreasingCircleProcess"/>
    <dgm:cxn modelId="{7969885B-28A4-4694-9CE1-85AF0A413F7E}" type="presOf" srcId="{15438A00-1603-4640-815C-A400A49C9993}" destId="{AC6BF7C1-5ECF-4DCC-B3E1-4A5389193B8C}" srcOrd="0" destOrd="1" presId="urn:microsoft.com/office/officeart/2008/layout/IncreasingCircleProcess"/>
    <dgm:cxn modelId="{AE1C484D-33A9-493A-818D-D16F4A103D7C}" type="presOf" srcId="{2AD183A2-7382-4D26-9BB6-F3A7696C22EA}" destId="{AC6BF7C1-5ECF-4DCC-B3E1-4A5389193B8C}" srcOrd="0" destOrd="4" presId="urn:microsoft.com/office/officeart/2008/layout/IncreasingCircleProcess"/>
    <dgm:cxn modelId="{6037D975-5DFB-4BE0-B5A3-5EC63813562C}" srcId="{869DB8B3-2635-44F7-A7A5-8E3EDFE113AC}" destId="{15438A00-1603-4640-815C-A400A49C9993}" srcOrd="0" destOrd="0" parTransId="{5D4483A3-510F-45E5-A8AB-4C933C6D5AD6}" sibTransId="{5BB5D4A0-135A-46AD-9A64-3694132A50E4}"/>
    <dgm:cxn modelId="{9BC18B84-4C34-4A1C-BAD7-7C1FD1B1D5D4}" type="presOf" srcId="{C8C1CB6A-F260-4567-B785-4DF19608FE69}" destId="{D07EAC0B-6C72-4CC9-869C-960EB4C4301F}" srcOrd="0" destOrd="0" presId="urn:microsoft.com/office/officeart/2008/layout/IncreasingCircleProcess"/>
    <dgm:cxn modelId="{196513A1-6866-4681-ABC0-CB79F63962AD}" type="presOf" srcId="{6A6B7227-27B9-47E5-84AA-C5A92DE7B52D}" destId="{1764240F-41F9-42D2-8804-52DE5D0083C8}" srcOrd="0" destOrd="0" presId="urn:microsoft.com/office/officeart/2008/layout/IncreasingCircleProcess"/>
    <dgm:cxn modelId="{4719A3AA-28F6-4C75-9914-5BC6E8ED61FF}" srcId="{6A6B7227-27B9-47E5-84AA-C5A92DE7B52D}" destId="{869DB8B3-2635-44F7-A7A5-8E3EDFE113AC}" srcOrd="0" destOrd="0" parTransId="{85CFD57E-78EC-4BB5-8ED0-BA47B11F1ED8}" sibTransId="{46143C60-359E-4F2E-BF84-5888478D9583}"/>
    <dgm:cxn modelId="{0A94C6C0-516D-46BC-BDB0-44B46491F43C}" srcId="{7DE2F162-67F6-49B8-BDAE-C22BEE2997DC}" destId="{F141D52C-1E09-4997-8057-F5183DD5D0BE}" srcOrd="0" destOrd="0" parTransId="{AB5DBAE1-603F-41F0-B84B-7A8C36600A46}" sibTransId="{AB0BC522-307E-43FD-BC47-768A18C26034}"/>
    <dgm:cxn modelId="{DBAD2AC2-6B08-41AE-9B2E-ECC560D5BA39}" srcId="{6A6B7227-27B9-47E5-84AA-C5A92DE7B52D}" destId="{7DE2F162-67F6-49B8-BDAE-C22BEE2997DC}" srcOrd="1" destOrd="0" parTransId="{DAD45E6D-AB49-427B-AFDD-DEF8AE2F104E}" sibTransId="{1E4D789D-3855-4C73-981C-C34DA7C8E0BD}"/>
    <dgm:cxn modelId="{B3DFF0CD-9B2D-4DDB-8DBB-FC8FF6D1DCE3}" srcId="{7DE2F162-67F6-49B8-BDAE-C22BEE2997DC}" destId="{2AD183A2-7382-4D26-9BB6-F3A7696C22EA}" srcOrd="1" destOrd="0" parTransId="{037CF7E9-0D60-48F1-9883-20EE988F33E5}" sibTransId="{875A3B36-D090-47F9-A415-4E3412CD4A49}"/>
    <dgm:cxn modelId="{35A870DC-90F4-4CBC-915D-8F433289F803}" srcId="{C8C1CB6A-F260-4567-B785-4DF19608FE69}" destId="{6A6B7227-27B9-47E5-84AA-C5A92DE7B52D}" srcOrd="0" destOrd="0" parTransId="{FD70CC8D-A7B8-4696-8670-12BC573769AE}" sibTransId="{13A54D5D-4B11-4C9F-AE64-7837221FCD81}"/>
    <dgm:cxn modelId="{5EBC2DE1-D99C-40EB-828E-D6BBF821AACC}" srcId="{7DE2F162-67F6-49B8-BDAE-C22BEE2997DC}" destId="{DDECF968-923B-4F56-AA81-7869CC9FECAA}" srcOrd="2" destOrd="0" parTransId="{18F77314-5F52-4F7B-B8EB-02063EA6C0FD}" sibTransId="{EA3925EE-568E-4D92-A470-CA2998D539DE}"/>
    <dgm:cxn modelId="{C8B348FB-2207-4808-8BA1-6618312C7618}" type="presOf" srcId="{869DB8B3-2635-44F7-A7A5-8E3EDFE113AC}" destId="{AC6BF7C1-5ECF-4DCC-B3E1-4A5389193B8C}" srcOrd="0" destOrd="0" presId="urn:microsoft.com/office/officeart/2008/layout/IncreasingCircleProcess"/>
    <dgm:cxn modelId="{E324F229-A28D-41D1-8CEE-D741510B8102}" type="presParOf" srcId="{D07EAC0B-6C72-4CC9-869C-960EB4C4301F}" destId="{51CE16E3-D93D-4013-A50F-DEE79FAB06EF}" srcOrd="0" destOrd="0" presId="urn:microsoft.com/office/officeart/2008/layout/IncreasingCircleProcess"/>
    <dgm:cxn modelId="{29C8FB15-492E-4CEA-A6CC-F35178F95D37}" type="presParOf" srcId="{51CE16E3-D93D-4013-A50F-DEE79FAB06EF}" destId="{411AC314-890B-473C-8F7B-00BBB4CA868D}" srcOrd="0" destOrd="0" presId="urn:microsoft.com/office/officeart/2008/layout/IncreasingCircleProcess"/>
    <dgm:cxn modelId="{BA5A1BD0-CE62-416F-AF3E-DA3DEDECF660}" type="presParOf" srcId="{51CE16E3-D93D-4013-A50F-DEE79FAB06EF}" destId="{2B55EE49-E545-4E5D-8CA7-758ABD8F1037}" srcOrd="1" destOrd="0" presId="urn:microsoft.com/office/officeart/2008/layout/IncreasingCircleProcess"/>
    <dgm:cxn modelId="{539E569C-23CD-48D4-964E-180B9BA7BB89}" type="presParOf" srcId="{51CE16E3-D93D-4013-A50F-DEE79FAB06EF}" destId="{AC6BF7C1-5ECF-4DCC-B3E1-4A5389193B8C}" srcOrd="2" destOrd="0" presId="urn:microsoft.com/office/officeart/2008/layout/IncreasingCircleProcess"/>
    <dgm:cxn modelId="{63CEEC75-F5EC-47C8-ADE6-3CE97F3BCE5B}" type="presParOf" srcId="{51CE16E3-D93D-4013-A50F-DEE79FAB06EF}" destId="{1764240F-41F9-42D2-8804-52DE5D0083C8}" srcOrd="3" destOrd="0" presId="urn:microsoft.com/office/officeart/2008/layout/IncreasingCircleProcess"/>
  </dgm:cxnLst>
  <dgm:bg/>
  <dgm:whole/>
  <dgm:extLst>
    <a:ext uri="http://schemas.microsoft.com/office/drawing/2008/diagram">
      <dsp:dataModelExt xmlns:dsp="http://schemas.microsoft.com/office/drawing/2008/diagram" relId="rId25" minVer="http://schemas.openxmlformats.org/drawingml/2006/diagram"/>
    </a:ext>
    <a:ext uri="{C62137D5-CB1D-491B-B009-E17868A290BF}">
      <dgm14:recolorImg xmlns:dgm14="http://schemas.microsoft.com/office/drawing/2010/diagram" val="1"/>
    </a:ext>
  </dgm:extLst>
</dgm:dataModel>
</file>

<file path=xl/diagrams/data6.xml><?xml version="1.0" encoding="utf-8"?>
<dgm:dataModel xmlns:dgm="http://schemas.openxmlformats.org/drawingml/2006/diagram" xmlns:a="http://schemas.openxmlformats.org/drawingml/2006/main">
  <dgm:ptLst>
    <dgm:pt modelId="{C8C1CB6A-F260-4567-B785-4DF19608FE69}" type="doc">
      <dgm:prSet loTypeId="urn:microsoft.com/office/officeart/2008/layout/IncreasingCircleProcess" loCatId="list" qsTypeId="urn:microsoft.com/office/officeart/2005/8/quickstyle/simple1" qsCatId="simple" csTypeId="urn:microsoft.com/office/officeart/2005/8/colors/accent4_1" csCatId="accent4" phldr="1"/>
      <dgm:spPr/>
      <dgm:t>
        <a:bodyPr/>
        <a:lstStyle/>
        <a:p>
          <a:endParaRPr lang="en-AU"/>
        </a:p>
      </dgm:t>
    </dgm:pt>
    <dgm:pt modelId="{6A6B7227-27B9-47E5-84AA-C5A92DE7B52D}">
      <dgm:prSet phldrT="[Text]" custT="1"/>
      <dgm:spPr/>
      <dgm:t>
        <a:bodyPr/>
        <a:lstStyle/>
        <a:p>
          <a:r>
            <a:rPr lang="en-AU" sz="2800"/>
            <a:t>Availability</a:t>
          </a:r>
        </a:p>
      </dgm:t>
    </dgm:pt>
    <dgm:pt modelId="{FD70CC8D-A7B8-4696-8670-12BC573769AE}" type="parTrans" cxnId="{35A870DC-90F4-4CBC-915D-8F433289F803}">
      <dgm:prSet/>
      <dgm:spPr/>
      <dgm:t>
        <a:bodyPr/>
        <a:lstStyle/>
        <a:p>
          <a:endParaRPr lang="en-AU"/>
        </a:p>
      </dgm:t>
    </dgm:pt>
    <dgm:pt modelId="{13A54D5D-4B11-4C9F-AE64-7837221FCD81}" type="sibTrans" cxnId="{35A870DC-90F4-4CBC-915D-8F433289F803}">
      <dgm:prSet/>
      <dgm:spPr/>
      <dgm:t>
        <a:bodyPr/>
        <a:lstStyle/>
        <a:p>
          <a:endParaRPr lang="en-AU"/>
        </a:p>
      </dgm:t>
    </dgm:pt>
    <dgm:pt modelId="{869DB8B3-2635-44F7-A7A5-8E3EDFE113AC}">
      <dgm:prSet phldrT="[Text]"/>
      <dgm:spPr/>
      <dgm:t>
        <a:bodyPr/>
        <a:lstStyle/>
        <a:p>
          <a:r>
            <a:rPr lang="en-AU" u="sng"/>
            <a:t>Tier 1-2 Applications</a:t>
          </a:r>
        </a:p>
      </dgm:t>
    </dgm:pt>
    <dgm:pt modelId="{85CFD57E-78EC-4BB5-8ED0-BA47B11F1ED8}" type="parTrans" cxnId="{4719A3AA-28F6-4C75-9914-5BC6E8ED61FF}">
      <dgm:prSet/>
      <dgm:spPr/>
      <dgm:t>
        <a:bodyPr/>
        <a:lstStyle/>
        <a:p>
          <a:endParaRPr lang="en-AU"/>
        </a:p>
      </dgm:t>
    </dgm:pt>
    <dgm:pt modelId="{46143C60-359E-4F2E-BF84-5888478D9583}" type="sibTrans" cxnId="{4719A3AA-28F6-4C75-9914-5BC6E8ED61FF}">
      <dgm:prSet/>
      <dgm:spPr/>
      <dgm:t>
        <a:bodyPr/>
        <a:lstStyle/>
        <a:p>
          <a:endParaRPr lang="en-AU"/>
        </a:p>
      </dgm:t>
    </dgm:pt>
    <dgm:pt modelId="{15438A00-1603-4640-815C-A400A49C9993}">
      <dgm:prSet phldrT="[Text]"/>
      <dgm:spPr/>
      <dgm:t>
        <a:bodyPr/>
        <a:lstStyle/>
        <a:p>
          <a:r>
            <a:rPr lang="en-AU" u="none"/>
            <a:t>Build redundancy by deploying two or more instances across availability sets.</a:t>
          </a:r>
          <a:br>
            <a:rPr lang="en-AU" u="none"/>
          </a:br>
          <a:endParaRPr lang="en-AU" u="none"/>
        </a:p>
      </dgm:t>
    </dgm:pt>
    <dgm:pt modelId="{5D4483A3-510F-45E5-A8AB-4C933C6D5AD6}" type="parTrans" cxnId="{6037D975-5DFB-4BE0-B5A3-5EC63813562C}">
      <dgm:prSet/>
      <dgm:spPr/>
      <dgm:t>
        <a:bodyPr/>
        <a:lstStyle/>
        <a:p>
          <a:endParaRPr lang="en-AU"/>
        </a:p>
      </dgm:t>
    </dgm:pt>
    <dgm:pt modelId="{5BB5D4A0-135A-46AD-9A64-3694132A50E4}" type="sibTrans" cxnId="{6037D975-5DFB-4BE0-B5A3-5EC63813562C}">
      <dgm:prSet/>
      <dgm:spPr/>
      <dgm:t>
        <a:bodyPr/>
        <a:lstStyle/>
        <a:p>
          <a:endParaRPr lang="en-AU"/>
        </a:p>
      </dgm:t>
    </dgm:pt>
    <dgm:pt modelId="{7DE2F162-67F6-49B8-BDAE-C22BEE2997DC}">
      <dgm:prSet phldrT="[Text]"/>
      <dgm:spPr/>
      <dgm:t>
        <a:bodyPr/>
        <a:lstStyle/>
        <a:p>
          <a:r>
            <a:rPr lang="en-AU" u="sng"/>
            <a:t>Tier 3-4 Applications</a:t>
          </a:r>
          <a:endParaRPr lang="en-AU" u="none"/>
        </a:p>
      </dgm:t>
    </dgm:pt>
    <dgm:pt modelId="{DAD45E6D-AB49-427B-AFDD-DEF8AE2F104E}" type="parTrans" cxnId="{DBAD2AC2-6B08-41AE-9B2E-ECC560D5BA39}">
      <dgm:prSet/>
      <dgm:spPr/>
      <dgm:t>
        <a:bodyPr/>
        <a:lstStyle/>
        <a:p>
          <a:endParaRPr lang="en-AU"/>
        </a:p>
      </dgm:t>
    </dgm:pt>
    <dgm:pt modelId="{1E4D789D-3855-4C73-981C-C34DA7C8E0BD}" type="sibTrans" cxnId="{DBAD2AC2-6B08-41AE-9B2E-ECC560D5BA39}">
      <dgm:prSet/>
      <dgm:spPr/>
      <dgm:t>
        <a:bodyPr/>
        <a:lstStyle/>
        <a:p>
          <a:endParaRPr lang="en-AU"/>
        </a:p>
      </dgm:t>
    </dgm:pt>
    <dgm:pt modelId="{F141D52C-1E09-4997-8057-F5183DD5D0BE}">
      <dgm:prSet phldrT="[Text]"/>
      <dgm:spPr/>
      <dgm:t>
        <a:bodyPr/>
        <a:lstStyle/>
        <a:p>
          <a:r>
            <a:rPr lang="en-AU" u="none"/>
            <a:t>Use ready to use templates to deploy another instance using backup copies.</a:t>
          </a:r>
        </a:p>
      </dgm:t>
    </dgm:pt>
    <dgm:pt modelId="{AB5DBAE1-603F-41F0-B84B-7A8C36600A46}" type="parTrans" cxnId="{0A94C6C0-516D-46BC-BDB0-44B46491F43C}">
      <dgm:prSet/>
      <dgm:spPr/>
      <dgm:t>
        <a:bodyPr/>
        <a:lstStyle/>
        <a:p>
          <a:endParaRPr lang="en-AU"/>
        </a:p>
      </dgm:t>
    </dgm:pt>
    <dgm:pt modelId="{AB0BC522-307E-43FD-BC47-768A18C26034}" type="sibTrans" cxnId="{0A94C6C0-516D-46BC-BDB0-44B46491F43C}">
      <dgm:prSet/>
      <dgm:spPr/>
      <dgm:t>
        <a:bodyPr/>
        <a:lstStyle/>
        <a:p>
          <a:endParaRPr lang="en-AU"/>
        </a:p>
      </dgm:t>
    </dgm:pt>
    <dgm:pt modelId="{DDECF968-923B-4F56-AA81-7869CC9FECAA}">
      <dgm:prSet/>
      <dgm:spPr/>
      <dgm:t>
        <a:bodyPr/>
        <a:lstStyle/>
        <a:p>
          <a:endParaRPr lang="en-AU" u="none"/>
        </a:p>
      </dgm:t>
    </dgm:pt>
    <dgm:pt modelId="{18F77314-5F52-4F7B-B8EB-02063EA6C0FD}" type="parTrans" cxnId="{5EBC2DE1-D99C-40EB-828E-D6BBF821AACC}">
      <dgm:prSet/>
      <dgm:spPr/>
      <dgm:t>
        <a:bodyPr/>
        <a:lstStyle/>
        <a:p>
          <a:endParaRPr lang="en-AU"/>
        </a:p>
      </dgm:t>
    </dgm:pt>
    <dgm:pt modelId="{EA3925EE-568E-4D92-A470-CA2998D539DE}" type="sibTrans" cxnId="{5EBC2DE1-D99C-40EB-828E-D6BBF821AACC}">
      <dgm:prSet/>
      <dgm:spPr/>
      <dgm:t>
        <a:bodyPr/>
        <a:lstStyle/>
        <a:p>
          <a:endParaRPr lang="en-AU"/>
        </a:p>
      </dgm:t>
    </dgm:pt>
    <dgm:pt modelId="{2AD183A2-7382-4D26-9BB6-F3A7696C22EA}">
      <dgm:prSet/>
      <dgm:spPr/>
      <dgm:t>
        <a:bodyPr/>
        <a:lstStyle/>
        <a:p>
          <a:r>
            <a:rPr lang="en-AU" u="none"/>
            <a:t>Test templates by deploying VMs into a test subnet or a test virtual network.</a:t>
          </a:r>
        </a:p>
      </dgm:t>
    </dgm:pt>
    <dgm:pt modelId="{037CF7E9-0D60-48F1-9883-20EE988F33E5}" type="parTrans" cxnId="{B3DFF0CD-9B2D-4DDB-8DBB-FC8FF6D1DCE3}">
      <dgm:prSet/>
      <dgm:spPr/>
      <dgm:t>
        <a:bodyPr/>
        <a:lstStyle/>
        <a:p>
          <a:endParaRPr lang="en-AU"/>
        </a:p>
      </dgm:t>
    </dgm:pt>
    <dgm:pt modelId="{875A3B36-D090-47F9-A415-4E3412CD4A49}" type="sibTrans" cxnId="{B3DFF0CD-9B2D-4DDB-8DBB-FC8FF6D1DCE3}">
      <dgm:prSet/>
      <dgm:spPr/>
      <dgm:t>
        <a:bodyPr/>
        <a:lstStyle/>
        <a:p>
          <a:endParaRPr lang="en-AU"/>
        </a:p>
      </dgm:t>
    </dgm:pt>
    <dgm:pt modelId="{D07EAC0B-6C72-4CC9-869C-960EB4C4301F}" type="pres">
      <dgm:prSet presAssocID="{C8C1CB6A-F260-4567-B785-4DF19608FE69}" presName="Name0" presStyleCnt="0">
        <dgm:presLayoutVars>
          <dgm:chMax val="7"/>
          <dgm:chPref val="7"/>
          <dgm:dir/>
          <dgm:animOne val="branch"/>
          <dgm:animLvl val="lvl"/>
        </dgm:presLayoutVars>
      </dgm:prSet>
      <dgm:spPr/>
    </dgm:pt>
    <dgm:pt modelId="{51CE16E3-D93D-4013-A50F-DEE79FAB06EF}" type="pres">
      <dgm:prSet presAssocID="{6A6B7227-27B9-47E5-84AA-C5A92DE7B52D}" presName="composite" presStyleCnt="0"/>
      <dgm:spPr/>
    </dgm:pt>
    <dgm:pt modelId="{411AC314-890B-473C-8F7B-00BBB4CA868D}" type="pres">
      <dgm:prSet presAssocID="{6A6B7227-27B9-47E5-84AA-C5A92DE7B52D}" presName="BackAccent" presStyleLbl="bgShp" presStyleIdx="0" presStyleCnt="1"/>
      <dgm:spPr/>
    </dgm:pt>
    <dgm:pt modelId="{2B55EE49-E545-4E5D-8CA7-758ABD8F1037}" type="pres">
      <dgm:prSet presAssocID="{6A6B7227-27B9-47E5-84AA-C5A92DE7B52D}" presName="Accent" presStyleLbl="alignNode1" presStyleIdx="0" presStyleCnt="1"/>
      <dgm:spPr/>
    </dgm:pt>
    <dgm:pt modelId="{AC6BF7C1-5ECF-4DCC-B3E1-4A5389193B8C}" type="pres">
      <dgm:prSet presAssocID="{6A6B7227-27B9-47E5-84AA-C5A92DE7B52D}" presName="Child" presStyleLbl="revTx" presStyleIdx="0" presStyleCnt="2">
        <dgm:presLayoutVars>
          <dgm:chMax val="0"/>
          <dgm:chPref val="0"/>
          <dgm:bulletEnabled val="1"/>
        </dgm:presLayoutVars>
      </dgm:prSet>
      <dgm:spPr/>
    </dgm:pt>
    <dgm:pt modelId="{1764240F-41F9-42D2-8804-52DE5D0083C8}" type="pres">
      <dgm:prSet presAssocID="{6A6B7227-27B9-47E5-84AA-C5A92DE7B52D}" presName="Parent" presStyleLbl="revTx" presStyleIdx="1" presStyleCnt="2">
        <dgm:presLayoutVars>
          <dgm:chMax val="1"/>
          <dgm:chPref val="1"/>
          <dgm:bulletEnabled val="1"/>
        </dgm:presLayoutVars>
      </dgm:prSet>
      <dgm:spPr/>
    </dgm:pt>
  </dgm:ptLst>
  <dgm:cxnLst>
    <dgm:cxn modelId="{7858CA03-BF8C-4868-8D21-50CA47C959AE}" type="presOf" srcId="{DDECF968-923B-4F56-AA81-7869CC9FECAA}" destId="{AC6BF7C1-5ECF-4DCC-B3E1-4A5389193B8C}" srcOrd="0" destOrd="5" presId="urn:microsoft.com/office/officeart/2008/layout/IncreasingCircleProcess"/>
    <dgm:cxn modelId="{4EE9FF1A-021A-4D7A-84CB-7167A86A43C3}" type="presOf" srcId="{7DE2F162-67F6-49B8-BDAE-C22BEE2997DC}" destId="{AC6BF7C1-5ECF-4DCC-B3E1-4A5389193B8C}" srcOrd="0" destOrd="2" presId="urn:microsoft.com/office/officeart/2008/layout/IncreasingCircleProcess"/>
    <dgm:cxn modelId="{1EE08038-863F-44AA-A72E-2EF34231A93C}" type="presOf" srcId="{F141D52C-1E09-4997-8057-F5183DD5D0BE}" destId="{AC6BF7C1-5ECF-4DCC-B3E1-4A5389193B8C}" srcOrd="0" destOrd="3" presId="urn:microsoft.com/office/officeart/2008/layout/IncreasingCircleProcess"/>
    <dgm:cxn modelId="{7969885B-28A4-4694-9CE1-85AF0A413F7E}" type="presOf" srcId="{15438A00-1603-4640-815C-A400A49C9993}" destId="{AC6BF7C1-5ECF-4DCC-B3E1-4A5389193B8C}" srcOrd="0" destOrd="1" presId="urn:microsoft.com/office/officeart/2008/layout/IncreasingCircleProcess"/>
    <dgm:cxn modelId="{AE1C484D-33A9-493A-818D-D16F4A103D7C}" type="presOf" srcId="{2AD183A2-7382-4D26-9BB6-F3A7696C22EA}" destId="{AC6BF7C1-5ECF-4DCC-B3E1-4A5389193B8C}" srcOrd="0" destOrd="4" presId="urn:microsoft.com/office/officeart/2008/layout/IncreasingCircleProcess"/>
    <dgm:cxn modelId="{6037D975-5DFB-4BE0-B5A3-5EC63813562C}" srcId="{869DB8B3-2635-44F7-A7A5-8E3EDFE113AC}" destId="{15438A00-1603-4640-815C-A400A49C9993}" srcOrd="0" destOrd="0" parTransId="{5D4483A3-510F-45E5-A8AB-4C933C6D5AD6}" sibTransId="{5BB5D4A0-135A-46AD-9A64-3694132A50E4}"/>
    <dgm:cxn modelId="{9BC18B84-4C34-4A1C-BAD7-7C1FD1B1D5D4}" type="presOf" srcId="{C8C1CB6A-F260-4567-B785-4DF19608FE69}" destId="{D07EAC0B-6C72-4CC9-869C-960EB4C4301F}" srcOrd="0" destOrd="0" presId="urn:microsoft.com/office/officeart/2008/layout/IncreasingCircleProcess"/>
    <dgm:cxn modelId="{196513A1-6866-4681-ABC0-CB79F63962AD}" type="presOf" srcId="{6A6B7227-27B9-47E5-84AA-C5A92DE7B52D}" destId="{1764240F-41F9-42D2-8804-52DE5D0083C8}" srcOrd="0" destOrd="0" presId="urn:microsoft.com/office/officeart/2008/layout/IncreasingCircleProcess"/>
    <dgm:cxn modelId="{4719A3AA-28F6-4C75-9914-5BC6E8ED61FF}" srcId="{6A6B7227-27B9-47E5-84AA-C5A92DE7B52D}" destId="{869DB8B3-2635-44F7-A7A5-8E3EDFE113AC}" srcOrd="0" destOrd="0" parTransId="{85CFD57E-78EC-4BB5-8ED0-BA47B11F1ED8}" sibTransId="{46143C60-359E-4F2E-BF84-5888478D9583}"/>
    <dgm:cxn modelId="{0A94C6C0-516D-46BC-BDB0-44B46491F43C}" srcId="{7DE2F162-67F6-49B8-BDAE-C22BEE2997DC}" destId="{F141D52C-1E09-4997-8057-F5183DD5D0BE}" srcOrd="0" destOrd="0" parTransId="{AB5DBAE1-603F-41F0-B84B-7A8C36600A46}" sibTransId="{AB0BC522-307E-43FD-BC47-768A18C26034}"/>
    <dgm:cxn modelId="{DBAD2AC2-6B08-41AE-9B2E-ECC560D5BA39}" srcId="{6A6B7227-27B9-47E5-84AA-C5A92DE7B52D}" destId="{7DE2F162-67F6-49B8-BDAE-C22BEE2997DC}" srcOrd="1" destOrd="0" parTransId="{DAD45E6D-AB49-427B-AFDD-DEF8AE2F104E}" sibTransId="{1E4D789D-3855-4C73-981C-C34DA7C8E0BD}"/>
    <dgm:cxn modelId="{B3DFF0CD-9B2D-4DDB-8DBB-FC8FF6D1DCE3}" srcId="{7DE2F162-67F6-49B8-BDAE-C22BEE2997DC}" destId="{2AD183A2-7382-4D26-9BB6-F3A7696C22EA}" srcOrd="1" destOrd="0" parTransId="{037CF7E9-0D60-48F1-9883-20EE988F33E5}" sibTransId="{875A3B36-D090-47F9-A415-4E3412CD4A49}"/>
    <dgm:cxn modelId="{35A870DC-90F4-4CBC-915D-8F433289F803}" srcId="{C8C1CB6A-F260-4567-B785-4DF19608FE69}" destId="{6A6B7227-27B9-47E5-84AA-C5A92DE7B52D}" srcOrd="0" destOrd="0" parTransId="{FD70CC8D-A7B8-4696-8670-12BC573769AE}" sibTransId="{13A54D5D-4B11-4C9F-AE64-7837221FCD81}"/>
    <dgm:cxn modelId="{5EBC2DE1-D99C-40EB-828E-D6BBF821AACC}" srcId="{7DE2F162-67F6-49B8-BDAE-C22BEE2997DC}" destId="{DDECF968-923B-4F56-AA81-7869CC9FECAA}" srcOrd="2" destOrd="0" parTransId="{18F77314-5F52-4F7B-B8EB-02063EA6C0FD}" sibTransId="{EA3925EE-568E-4D92-A470-CA2998D539DE}"/>
    <dgm:cxn modelId="{C8B348FB-2207-4808-8BA1-6618312C7618}" type="presOf" srcId="{869DB8B3-2635-44F7-A7A5-8E3EDFE113AC}" destId="{AC6BF7C1-5ECF-4DCC-B3E1-4A5389193B8C}" srcOrd="0" destOrd="0" presId="urn:microsoft.com/office/officeart/2008/layout/IncreasingCircleProcess"/>
    <dgm:cxn modelId="{E324F229-A28D-41D1-8CEE-D741510B8102}" type="presParOf" srcId="{D07EAC0B-6C72-4CC9-869C-960EB4C4301F}" destId="{51CE16E3-D93D-4013-A50F-DEE79FAB06EF}" srcOrd="0" destOrd="0" presId="urn:microsoft.com/office/officeart/2008/layout/IncreasingCircleProcess"/>
    <dgm:cxn modelId="{29C8FB15-492E-4CEA-A6CC-F35178F95D37}" type="presParOf" srcId="{51CE16E3-D93D-4013-A50F-DEE79FAB06EF}" destId="{411AC314-890B-473C-8F7B-00BBB4CA868D}" srcOrd="0" destOrd="0" presId="urn:microsoft.com/office/officeart/2008/layout/IncreasingCircleProcess"/>
    <dgm:cxn modelId="{BA5A1BD0-CE62-416F-AF3E-DA3DEDECF660}" type="presParOf" srcId="{51CE16E3-D93D-4013-A50F-DEE79FAB06EF}" destId="{2B55EE49-E545-4E5D-8CA7-758ABD8F1037}" srcOrd="1" destOrd="0" presId="urn:microsoft.com/office/officeart/2008/layout/IncreasingCircleProcess"/>
    <dgm:cxn modelId="{539E569C-23CD-48D4-964E-180B9BA7BB89}" type="presParOf" srcId="{51CE16E3-D93D-4013-A50F-DEE79FAB06EF}" destId="{AC6BF7C1-5ECF-4DCC-B3E1-4A5389193B8C}" srcOrd="2" destOrd="0" presId="urn:microsoft.com/office/officeart/2008/layout/IncreasingCircleProcess"/>
    <dgm:cxn modelId="{63CEEC75-F5EC-47C8-ADE6-3CE97F3BCE5B}" type="presParOf" srcId="{51CE16E3-D93D-4013-A50F-DEE79FAB06EF}" destId="{1764240F-41F9-42D2-8804-52DE5D0083C8}" srcOrd="3" destOrd="0" presId="urn:microsoft.com/office/officeart/2008/layout/IncreasingCircleProcess"/>
  </dgm:cxnLst>
  <dgm:bg/>
  <dgm:whole/>
  <dgm:extLst>
    <a:ext uri="http://schemas.microsoft.com/office/drawing/2008/diagram">
      <dsp:dataModelExt xmlns:dsp="http://schemas.microsoft.com/office/drawing/2008/diagram" relId="rId30" minVer="http://schemas.openxmlformats.org/drawingml/2006/diagram"/>
    </a:ext>
    <a:ext uri="{C62137D5-CB1D-491B-B009-E17868A290BF}">
      <dgm14:recolorImg xmlns:dgm14="http://schemas.microsoft.com/office/drawing/2010/diagram" val="1"/>
    </a:ext>
  </dgm:extLst>
</dgm:dataModel>
</file>

<file path=xl/diagrams/data7.xml><?xml version="1.0" encoding="utf-8"?>
<dgm:dataModel xmlns:dgm="http://schemas.openxmlformats.org/drawingml/2006/diagram" xmlns:a="http://schemas.openxmlformats.org/drawingml/2006/main">
  <dgm:ptLst>
    <dgm:pt modelId="{C8C1CB6A-F260-4567-B785-4DF19608FE69}" type="doc">
      <dgm:prSet loTypeId="urn:microsoft.com/office/officeart/2008/layout/IncreasingCircleProcess" loCatId="list" qsTypeId="urn:microsoft.com/office/officeart/2005/8/quickstyle/simple1" qsCatId="simple" csTypeId="urn:microsoft.com/office/officeart/2005/8/colors/accent4_1" csCatId="accent4" phldr="1"/>
      <dgm:spPr/>
      <dgm:t>
        <a:bodyPr/>
        <a:lstStyle/>
        <a:p>
          <a:endParaRPr lang="en-AU"/>
        </a:p>
      </dgm:t>
    </dgm:pt>
    <dgm:pt modelId="{6A6B7227-27B9-47E5-84AA-C5A92DE7B52D}">
      <dgm:prSet phldrT="[Text]" custT="1"/>
      <dgm:spPr/>
      <dgm:t>
        <a:bodyPr/>
        <a:lstStyle/>
        <a:p>
          <a:r>
            <a:rPr lang="en-AU" sz="2800"/>
            <a:t>Availability</a:t>
          </a:r>
        </a:p>
      </dgm:t>
    </dgm:pt>
    <dgm:pt modelId="{FD70CC8D-A7B8-4696-8670-12BC573769AE}" type="parTrans" cxnId="{35A870DC-90F4-4CBC-915D-8F433289F803}">
      <dgm:prSet/>
      <dgm:spPr/>
      <dgm:t>
        <a:bodyPr/>
        <a:lstStyle/>
        <a:p>
          <a:endParaRPr lang="en-AU"/>
        </a:p>
      </dgm:t>
    </dgm:pt>
    <dgm:pt modelId="{13A54D5D-4B11-4C9F-AE64-7837221FCD81}" type="sibTrans" cxnId="{35A870DC-90F4-4CBC-915D-8F433289F803}">
      <dgm:prSet/>
      <dgm:spPr/>
      <dgm:t>
        <a:bodyPr/>
        <a:lstStyle/>
        <a:p>
          <a:endParaRPr lang="en-AU"/>
        </a:p>
      </dgm:t>
    </dgm:pt>
    <dgm:pt modelId="{869DB8B3-2635-44F7-A7A5-8E3EDFE113AC}">
      <dgm:prSet phldrT="[Text]"/>
      <dgm:spPr/>
      <dgm:t>
        <a:bodyPr/>
        <a:lstStyle/>
        <a:p>
          <a:r>
            <a:rPr lang="en-AU" u="sng"/>
            <a:t>Tier 1-2 Applications</a:t>
          </a:r>
        </a:p>
      </dgm:t>
    </dgm:pt>
    <dgm:pt modelId="{85CFD57E-78EC-4BB5-8ED0-BA47B11F1ED8}" type="parTrans" cxnId="{4719A3AA-28F6-4C75-9914-5BC6E8ED61FF}">
      <dgm:prSet/>
      <dgm:spPr/>
      <dgm:t>
        <a:bodyPr/>
        <a:lstStyle/>
        <a:p>
          <a:endParaRPr lang="en-AU"/>
        </a:p>
      </dgm:t>
    </dgm:pt>
    <dgm:pt modelId="{46143C60-359E-4F2E-BF84-5888478D9583}" type="sibTrans" cxnId="{4719A3AA-28F6-4C75-9914-5BC6E8ED61FF}">
      <dgm:prSet/>
      <dgm:spPr/>
      <dgm:t>
        <a:bodyPr/>
        <a:lstStyle/>
        <a:p>
          <a:endParaRPr lang="en-AU"/>
        </a:p>
      </dgm:t>
    </dgm:pt>
    <dgm:pt modelId="{15438A00-1603-4640-815C-A400A49C9993}">
      <dgm:prSet phldrT="[Text]"/>
      <dgm:spPr/>
      <dgm:t>
        <a:bodyPr/>
        <a:lstStyle/>
        <a:p>
          <a:r>
            <a:rPr lang="en-AU" u="none"/>
            <a:t>Provision enough capacity into the application.</a:t>
          </a:r>
        </a:p>
      </dgm:t>
    </dgm:pt>
    <dgm:pt modelId="{5D4483A3-510F-45E5-A8AB-4C933C6D5AD6}" type="parTrans" cxnId="{6037D975-5DFB-4BE0-B5A3-5EC63813562C}">
      <dgm:prSet/>
      <dgm:spPr/>
      <dgm:t>
        <a:bodyPr/>
        <a:lstStyle/>
        <a:p>
          <a:endParaRPr lang="en-AU"/>
        </a:p>
      </dgm:t>
    </dgm:pt>
    <dgm:pt modelId="{5BB5D4A0-135A-46AD-9A64-3694132A50E4}" type="sibTrans" cxnId="{6037D975-5DFB-4BE0-B5A3-5EC63813562C}">
      <dgm:prSet/>
      <dgm:spPr/>
      <dgm:t>
        <a:bodyPr/>
        <a:lstStyle/>
        <a:p>
          <a:endParaRPr lang="en-AU"/>
        </a:p>
      </dgm:t>
    </dgm:pt>
    <dgm:pt modelId="{7DE2F162-67F6-49B8-BDAE-C22BEE2997DC}">
      <dgm:prSet phldrT="[Text]"/>
      <dgm:spPr/>
      <dgm:t>
        <a:bodyPr/>
        <a:lstStyle/>
        <a:p>
          <a:r>
            <a:rPr lang="en-AU" u="sng"/>
            <a:t>Tier 3-4 Applications</a:t>
          </a:r>
          <a:endParaRPr lang="en-AU" u="none"/>
        </a:p>
      </dgm:t>
    </dgm:pt>
    <dgm:pt modelId="{DAD45E6D-AB49-427B-AFDD-DEF8AE2F104E}" type="parTrans" cxnId="{DBAD2AC2-6B08-41AE-9B2E-ECC560D5BA39}">
      <dgm:prSet/>
      <dgm:spPr/>
      <dgm:t>
        <a:bodyPr/>
        <a:lstStyle/>
        <a:p>
          <a:endParaRPr lang="en-AU"/>
        </a:p>
      </dgm:t>
    </dgm:pt>
    <dgm:pt modelId="{1E4D789D-3855-4C73-981C-C34DA7C8E0BD}" type="sibTrans" cxnId="{DBAD2AC2-6B08-41AE-9B2E-ECC560D5BA39}">
      <dgm:prSet/>
      <dgm:spPr/>
      <dgm:t>
        <a:bodyPr/>
        <a:lstStyle/>
        <a:p>
          <a:endParaRPr lang="en-AU"/>
        </a:p>
      </dgm:t>
    </dgm:pt>
    <dgm:pt modelId="{F141D52C-1E09-4997-8057-F5183DD5D0BE}">
      <dgm:prSet phldrT="[Text]"/>
      <dgm:spPr/>
      <dgm:t>
        <a:bodyPr/>
        <a:lstStyle/>
        <a:p>
          <a:r>
            <a:rPr lang="en-AU" u="none"/>
            <a:t>Use monitoring tools to identify any load surges on the VM.</a:t>
          </a:r>
        </a:p>
      </dgm:t>
    </dgm:pt>
    <dgm:pt modelId="{AB5DBAE1-603F-41F0-B84B-7A8C36600A46}" type="parTrans" cxnId="{0A94C6C0-516D-46BC-BDB0-44B46491F43C}">
      <dgm:prSet/>
      <dgm:spPr/>
      <dgm:t>
        <a:bodyPr/>
        <a:lstStyle/>
        <a:p>
          <a:endParaRPr lang="en-AU"/>
        </a:p>
      </dgm:t>
    </dgm:pt>
    <dgm:pt modelId="{AB0BC522-307E-43FD-BC47-768A18C26034}" type="sibTrans" cxnId="{0A94C6C0-516D-46BC-BDB0-44B46491F43C}">
      <dgm:prSet/>
      <dgm:spPr/>
      <dgm:t>
        <a:bodyPr/>
        <a:lstStyle/>
        <a:p>
          <a:endParaRPr lang="en-AU"/>
        </a:p>
      </dgm:t>
    </dgm:pt>
    <dgm:pt modelId="{DDECF968-923B-4F56-AA81-7869CC9FECAA}">
      <dgm:prSet/>
      <dgm:spPr/>
      <dgm:t>
        <a:bodyPr/>
        <a:lstStyle/>
        <a:p>
          <a:endParaRPr lang="en-AU" u="none"/>
        </a:p>
      </dgm:t>
    </dgm:pt>
    <dgm:pt modelId="{18F77314-5F52-4F7B-B8EB-02063EA6C0FD}" type="parTrans" cxnId="{5EBC2DE1-D99C-40EB-828E-D6BBF821AACC}">
      <dgm:prSet/>
      <dgm:spPr/>
      <dgm:t>
        <a:bodyPr/>
        <a:lstStyle/>
        <a:p>
          <a:endParaRPr lang="en-AU"/>
        </a:p>
      </dgm:t>
    </dgm:pt>
    <dgm:pt modelId="{EA3925EE-568E-4D92-A470-CA2998D539DE}" type="sibTrans" cxnId="{5EBC2DE1-D99C-40EB-828E-D6BBF821AACC}">
      <dgm:prSet/>
      <dgm:spPr/>
      <dgm:t>
        <a:bodyPr/>
        <a:lstStyle/>
        <a:p>
          <a:endParaRPr lang="en-AU"/>
        </a:p>
      </dgm:t>
    </dgm:pt>
    <dgm:pt modelId="{FCF26138-3028-45B9-B63D-D1C6CDAC567D}">
      <dgm:prSet phldrT="[Text]"/>
      <dgm:spPr/>
      <dgm:t>
        <a:bodyPr/>
        <a:lstStyle/>
        <a:p>
          <a:r>
            <a:rPr lang="en-AU" u="none"/>
            <a:t>Use tools to monitor the load and add more instances automatically using scripts if the threshold is hit (say, 70%).</a:t>
          </a:r>
          <a:br>
            <a:rPr lang="en-AU" u="none"/>
          </a:br>
          <a:endParaRPr lang="en-AU" u="none"/>
        </a:p>
      </dgm:t>
    </dgm:pt>
    <dgm:pt modelId="{795ECE56-989A-4694-8C7C-C0AA0541B715}" type="parTrans" cxnId="{8DBB0195-36F7-4C41-8625-2E8BEED27753}">
      <dgm:prSet/>
      <dgm:spPr/>
      <dgm:t>
        <a:bodyPr/>
        <a:lstStyle/>
        <a:p>
          <a:endParaRPr lang="en-AU"/>
        </a:p>
      </dgm:t>
    </dgm:pt>
    <dgm:pt modelId="{07E2CB7C-A64F-4446-9F8B-2A7716F7F013}" type="sibTrans" cxnId="{8DBB0195-36F7-4C41-8625-2E8BEED27753}">
      <dgm:prSet/>
      <dgm:spPr/>
      <dgm:t>
        <a:bodyPr/>
        <a:lstStyle/>
        <a:p>
          <a:endParaRPr lang="en-AU"/>
        </a:p>
      </dgm:t>
    </dgm:pt>
    <dgm:pt modelId="{1E73A0FB-7DFD-4ABB-A59B-C0E2B93F607E}">
      <dgm:prSet/>
      <dgm:spPr/>
      <dgm:t>
        <a:bodyPr/>
        <a:lstStyle/>
        <a:p>
          <a:r>
            <a:rPr lang="en-AU" u="none"/>
            <a:t>Increase the size of the VM or scale up by adding more instances.</a:t>
          </a:r>
        </a:p>
      </dgm:t>
    </dgm:pt>
    <dgm:pt modelId="{081BE2F1-3C17-4ADC-B8C3-5F8277097992}" type="parTrans" cxnId="{27133FC6-1C6D-46E0-9A6F-F20479BB6F0F}">
      <dgm:prSet/>
      <dgm:spPr/>
      <dgm:t>
        <a:bodyPr/>
        <a:lstStyle/>
        <a:p>
          <a:endParaRPr lang="en-AU"/>
        </a:p>
      </dgm:t>
    </dgm:pt>
    <dgm:pt modelId="{FBFE6F60-9604-4957-8038-DFADF10FF01A}" type="sibTrans" cxnId="{27133FC6-1C6D-46E0-9A6F-F20479BB6F0F}">
      <dgm:prSet/>
      <dgm:spPr/>
      <dgm:t>
        <a:bodyPr/>
        <a:lstStyle/>
        <a:p>
          <a:endParaRPr lang="en-AU"/>
        </a:p>
      </dgm:t>
    </dgm:pt>
    <dgm:pt modelId="{D07EAC0B-6C72-4CC9-869C-960EB4C4301F}" type="pres">
      <dgm:prSet presAssocID="{C8C1CB6A-F260-4567-B785-4DF19608FE69}" presName="Name0" presStyleCnt="0">
        <dgm:presLayoutVars>
          <dgm:chMax val="7"/>
          <dgm:chPref val="7"/>
          <dgm:dir/>
          <dgm:animOne val="branch"/>
          <dgm:animLvl val="lvl"/>
        </dgm:presLayoutVars>
      </dgm:prSet>
      <dgm:spPr/>
    </dgm:pt>
    <dgm:pt modelId="{51CE16E3-D93D-4013-A50F-DEE79FAB06EF}" type="pres">
      <dgm:prSet presAssocID="{6A6B7227-27B9-47E5-84AA-C5A92DE7B52D}" presName="composite" presStyleCnt="0"/>
      <dgm:spPr/>
    </dgm:pt>
    <dgm:pt modelId="{411AC314-890B-473C-8F7B-00BBB4CA868D}" type="pres">
      <dgm:prSet presAssocID="{6A6B7227-27B9-47E5-84AA-C5A92DE7B52D}" presName="BackAccent" presStyleLbl="bgShp" presStyleIdx="0" presStyleCnt="1"/>
      <dgm:spPr/>
    </dgm:pt>
    <dgm:pt modelId="{2B55EE49-E545-4E5D-8CA7-758ABD8F1037}" type="pres">
      <dgm:prSet presAssocID="{6A6B7227-27B9-47E5-84AA-C5A92DE7B52D}" presName="Accent" presStyleLbl="alignNode1" presStyleIdx="0" presStyleCnt="1"/>
      <dgm:spPr/>
    </dgm:pt>
    <dgm:pt modelId="{AC6BF7C1-5ECF-4DCC-B3E1-4A5389193B8C}" type="pres">
      <dgm:prSet presAssocID="{6A6B7227-27B9-47E5-84AA-C5A92DE7B52D}" presName="Child" presStyleLbl="revTx" presStyleIdx="0" presStyleCnt="2">
        <dgm:presLayoutVars>
          <dgm:chMax val="0"/>
          <dgm:chPref val="0"/>
          <dgm:bulletEnabled val="1"/>
        </dgm:presLayoutVars>
      </dgm:prSet>
      <dgm:spPr/>
    </dgm:pt>
    <dgm:pt modelId="{1764240F-41F9-42D2-8804-52DE5D0083C8}" type="pres">
      <dgm:prSet presAssocID="{6A6B7227-27B9-47E5-84AA-C5A92DE7B52D}" presName="Parent" presStyleLbl="revTx" presStyleIdx="1" presStyleCnt="2">
        <dgm:presLayoutVars>
          <dgm:chMax val="1"/>
          <dgm:chPref val="1"/>
          <dgm:bulletEnabled val="1"/>
        </dgm:presLayoutVars>
      </dgm:prSet>
      <dgm:spPr/>
    </dgm:pt>
  </dgm:ptLst>
  <dgm:cxnLst>
    <dgm:cxn modelId="{7858CA03-BF8C-4868-8D21-50CA47C959AE}" type="presOf" srcId="{DDECF968-923B-4F56-AA81-7869CC9FECAA}" destId="{AC6BF7C1-5ECF-4DCC-B3E1-4A5389193B8C}" srcOrd="0" destOrd="6" presId="urn:microsoft.com/office/officeart/2008/layout/IncreasingCircleProcess"/>
    <dgm:cxn modelId="{4EE9FF1A-021A-4D7A-84CB-7167A86A43C3}" type="presOf" srcId="{7DE2F162-67F6-49B8-BDAE-C22BEE2997DC}" destId="{AC6BF7C1-5ECF-4DCC-B3E1-4A5389193B8C}" srcOrd="0" destOrd="3" presId="urn:microsoft.com/office/officeart/2008/layout/IncreasingCircleProcess"/>
    <dgm:cxn modelId="{82419537-26FE-468D-B4B1-5DC8D5E9BB09}" type="presOf" srcId="{FCF26138-3028-45B9-B63D-D1C6CDAC567D}" destId="{AC6BF7C1-5ECF-4DCC-B3E1-4A5389193B8C}" srcOrd="0" destOrd="2" presId="urn:microsoft.com/office/officeart/2008/layout/IncreasingCircleProcess"/>
    <dgm:cxn modelId="{1EE08038-863F-44AA-A72E-2EF34231A93C}" type="presOf" srcId="{F141D52C-1E09-4997-8057-F5183DD5D0BE}" destId="{AC6BF7C1-5ECF-4DCC-B3E1-4A5389193B8C}" srcOrd="0" destOrd="4" presId="urn:microsoft.com/office/officeart/2008/layout/IncreasingCircleProcess"/>
    <dgm:cxn modelId="{7969885B-28A4-4694-9CE1-85AF0A413F7E}" type="presOf" srcId="{15438A00-1603-4640-815C-A400A49C9993}" destId="{AC6BF7C1-5ECF-4DCC-B3E1-4A5389193B8C}" srcOrd="0" destOrd="1" presId="urn:microsoft.com/office/officeart/2008/layout/IncreasingCircleProcess"/>
    <dgm:cxn modelId="{6037D975-5DFB-4BE0-B5A3-5EC63813562C}" srcId="{869DB8B3-2635-44F7-A7A5-8E3EDFE113AC}" destId="{15438A00-1603-4640-815C-A400A49C9993}" srcOrd="0" destOrd="0" parTransId="{5D4483A3-510F-45E5-A8AB-4C933C6D5AD6}" sibTransId="{5BB5D4A0-135A-46AD-9A64-3694132A50E4}"/>
    <dgm:cxn modelId="{81F1A556-41C6-4D8A-963F-FF5D04E2FF63}" type="presOf" srcId="{1E73A0FB-7DFD-4ABB-A59B-C0E2B93F607E}" destId="{AC6BF7C1-5ECF-4DCC-B3E1-4A5389193B8C}" srcOrd="0" destOrd="5" presId="urn:microsoft.com/office/officeart/2008/layout/IncreasingCircleProcess"/>
    <dgm:cxn modelId="{9BC18B84-4C34-4A1C-BAD7-7C1FD1B1D5D4}" type="presOf" srcId="{C8C1CB6A-F260-4567-B785-4DF19608FE69}" destId="{D07EAC0B-6C72-4CC9-869C-960EB4C4301F}" srcOrd="0" destOrd="0" presId="urn:microsoft.com/office/officeart/2008/layout/IncreasingCircleProcess"/>
    <dgm:cxn modelId="{8DBB0195-36F7-4C41-8625-2E8BEED27753}" srcId="{869DB8B3-2635-44F7-A7A5-8E3EDFE113AC}" destId="{FCF26138-3028-45B9-B63D-D1C6CDAC567D}" srcOrd="1" destOrd="0" parTransId="{795ECE56-989A-4694-8C7C-C0AA0541B715}" sibTransId="{07E2CB7C-A64F-4446-9F8B-2A7716F7F013}"/>
    <dgm:cxn modelId="{196513A1-6866-4681-ABC0-CB79F63962AD}" type="presOf" srcId="{6A6B7227-27B9-47E5-84AA-C5A92DE7B52D}" destId="{1764240F-41F9-42D2-8804-52DE5D0083C8}" srcOrd="0" destOrd="0" presId="urn:microsoft.com/office/officeart/2008/layout/IncreasingCircleProcess"/>
    <dgm:cxn modelId="{4719A3AA-28F6-4C75-9914-5BC6E8ED61FF}" srcId="{6A6B7227-27B9-47E5-84AA-C5A92DE7B52D}" destId="{869DB8B3-2635-44F7-A7A5-8E3EDFE113AC}" srcOrd="0" destOrd="0" parTransId="{85CFD57E-78EC-4BB5-8ED0-BA47B11F1ED8}" sibTransId="{46143C60-359E-4F2E-BF84-5888478D9583}"/>
    <dgm:cxn modelId="{0A94C6C0-516D-46BC-BDB0-44B46491F43C}" srcId="{7DE2F162-67F6-49B8-BDAE-C22BEE2997DC}" destId="{F141D52C-1E09-4997-8057-F5183DD5D0BE}" srcOrd="0" destOrd="0" parTransId="{AB5DBAE1-603F-41F0-B84B-7A8C36600A46}" sibTransId="{AB0BC522-307E-43FD-BC47-768A18C26034}"/>
    <dgm:cxn modelId="{DBAD2AC2-6B08-41AE-9B2E-ECC560D5BA39}" srcId="{6A6B7227-27B9-47E5-84AA-C5A92DE7B52D}" destId="{7DE2F162-67F6-49B8-BDAE-C22BEE2997DC}" srcOrd="1" destOrd="0" parTransId="{DAD45E6D-AB49-427B-AFDD-DEF8AE2F104E}" sibTransId="{1E4D789D-3855-4C73-981C-C34DA7C8E0BD}"/>
    <dgm:cxn modelId="{27133FC6-1C6D-46E0-9A6F-F20479BB6F0F}" srcId="{7DE2F162-67F6-49B8-BDAE-C22BEE2997DC}" destId="{1E73A0FB-7DFD-4ABB-A59B-C0E2B93F607E}" srcOrd="1" destOrd="0" parTransId="{081BE2F1-3C17-4ADC-B8C3-5F8277097992}" sibTransId="{FBFE6F60-9604-4957-8038-DFADF10FF01A}"/>
    <dgm:cxn modelId="{35A870DC-90F4-4CBC-915D-8F433289F803}" srcId="{C8C1CB6A-F260-4567-B785-4DF19608FE69}" destId="{6A6B7227-27B9-47E5-84AA-C5A92DE7B52D}" srcOrd="0" destOrd="0" parTransId="{FD70CC8D-A7B8-4696-8670-12BC573769AE}" sibTransId="{13A54D5D-4B11-4C9F-AE64-7837221FCD81}"/>
    <dgm:cxn modelId="{5EBC2DE1-D99C-40EB-828E-D6BBF821AACC}" srcId="{7DE2F162-67F6-49B8-BDAE-C22BEE2997DC}" destId="{DDECF968-923B-4F56-AA81-7869CC9FECAA}" srcOrd="2" destOrd="0" parTransId="{18F77314-5F52-4F7B-B8EB-02063EA6C0FD}" sibTransId="{EA3925EE-568E-4D92-A470-CA2998D539DE}"/>
    <dgm:cxn modelId="{C8B348FB-2207-4808-8BA1-6618312C7618}" type="presOf" srcId="{869DB8B3-2635-44F7-A7A5-8E3EDFE113AC}" destId="{AC6BF7C1-5ECF-4DCC-B3E1-4A5389193B8C}" srcOrd="0" destOrd="0" presId="urn:microsoft.com/office/officeart/2008/layout/IncreasingCircleProcess"/>
    <dgm:cxn modelId="{E324F229-A28D-41D1-8CEE-D741510B8102}" type="presParOf" srcId="{D07EAC0B-6C72-4CC9-869C-960EB4C4301F}" destId="{51CE16E3-D93D-4013-A50F-DEE79FAB06EF}" srcOrd="0" destOrd="0" presId="urn:microsoft.com/office/officeart/2008/layout/IncreasingCircleProcess"/>
    <dgm:cxn modelId="{29C8FB15-492E-4CEA-A6CC-F35178F95D37}" type="presParOf" srcId="{51CE16E3-D93D-4013-A50F-DEE79FAB06EF}" destId="{411AC314-890B-473C-8F7B-00BBB4CA868D}" srcOrd="0" destOrd="0" presId="urn:microsoft.com/office/officeart/2008/layout/IncreasingCircleProcess"/>
    <dgm:cxn modelId="{BA5A1BD0-CE62-416F-AF3E-DA3DEDECF660}" type="presParOf" srcId="{51CE16E3-D93D-4013-A50F-DEE79FAB06EF}" destId="{2B55EE49-E545-4E5D-8CA7-758ABD8F1037}" srcOrd="1" destOrd="0" presId="urn:microsoft.com/office/officeart/2008/layout/IncreasingCircleProcess"/>
    <dgm:cxn modelId="{539E569C-23CD-48D4-964E-180B9BA7BB89}" type="presParOf" srcId="{51CE16E3-D93D-4013-A50F-DEE79FAB06EF}" destId="{AC6BF7C1-5ECF-4DCC-B3E1-4A5389193B8C}" srcOrd="2" destOrd="0" presId="urn:microsoft.com/office/officeart/2008/layout/IncreasingCircleProcess"/>
    <dgm:cxn modelId="{63CEEC75-F5EC-47C8-ADE6-3CE97F3BCE5B}" type="presParOf" srcId="{51CE16E3-D93D-4013-A50F-DEE79FAB06EF}" destId="{1764240F-41F9-42D2-8804-52DE5D0083C8}" srcOrd="3" destOrd="0" presId="urn:microsoft.com/office/officeart/2008/layout/IncreasingCircleProcess"/>
  </dgm:cxnLst>
  <dgm:bg/>
  <dgm:whole/>
  <dgm:extLst>
    <a:ext uri="http://schemas.microsoft.com/office/drawing/2008/diagram">
      <dsp:dataModelExt xmlns:dsp="http://schemas.microsoft.com/office/drawing/2008/diagram" relId="rId35" minVer="http://schemas.openxmlformats.org/drawingml/2006/diagram"/>
    </a:ext>
    <a:ext uri="{C62137D5-CB1D-491B-B009-E17868A290BF}">
      <dgm14:recolorImg xmlns:dgm14="http://schemas.microsoft.com/office/drawing/2010/diagram" val="1"/>
    </a:ext>
  </dgm:extLst>
</dgm:dataModel>
</file>

<file path=xl/diagrams/data8.xml><?xml version="1.0" encoding="utf-8"?>
<dgm:dataModel xmlns:dgm="http://schemas.openxmlformats.org/drawingml/2006/diagram" xmlns:a="http://schemas.openxmlformats.org/drawingml/2006/main">
  <dgm:ptLst>
    <dgm:pt modelId="{4C0706E8-D022-43D2-A518-284B3392F028}" type="doc">
      <dgm:prSet loTypeId="urn:microsoft.com/office/officeart/2005/8/layout/hList1" loCatId="list" qsTypeId="urn:microsoft.com/office/officeart/2005/8/quickstyle/simple1" qsCatId="simple" csTypeId="urn:microsoft.com/office/officeart/2005/8/colors/accent1_2" csCatId="accent1" phldr="1"/>
      <dgm:spPr/>
      <dgm:t>
        <a:bodyPr/>
        <a:lstStyle/>
        <a:p>
          <a:endParaRPr lang="en-AU"/>
        </a:p>
      </dgm:t>
    </dgm:pt>
    <dgm:pt modelId="{BA35C0E7-AE73-4734-BBA2-7E39ADC249BB}">
      <dgm:prSet phldrT="[Text]"/>
      <dgm:spPr>
        <a:solidFill>
          <a:srgbClr val="00A4EF"/>
        </a:solidFill>
        <a:ln>
          <a:solidFill>
            <a:srgbClr val="00A4EF"/>
          </a:solidFill>
        </a:ln>
      </dgm:spPr>
      <dgm:t>
        <a:bodyPr/>
        <a:lstStyle/>
        <a:p>
          <a:r>
            <a:rPr lang="en-AU">
              <a:solidFill>
                <a:schemeClr val="bg1"/>
              </a:solidFill>
            </a:rPr>
            <a:t>Responsible</a:t>
          </a:r>
        </a:p>
      </dgm:t>
    </dgm:pt>
    <dgm:pt modelId="{94F09EAD-A408-405A-AAD2-02D4D365EF18}" type="parTrans" cxnId="{19D804CB-2E52-4BA9-8577-D74D2DB9CE4A}">
      <dgm:prSet/>
      <dgm:spPr/>
      <dgm:t>
        <a:bodyPr/>
        <a:lstStyle/>
        <a:p>
          <a:endParaRPr lang="en-AU"/>
        </a:p>
      </dgm:t>
    </dgm:pt>
    <dgm:pt modelId="{BA539458-E235-46EA-8911-480810AC8683}" type="sibTrans" cxnId="{19D804CB-2E52-4BA9-8577-D74D2DB9CE4A}">
      <dgm:prSet/>
      <dgm:spPr/>
      <dgm:t>
        <a:bodyPr/>
        <a:lstStyle/>
        <a:p>
          <a:endParaRPr lang="en-AU"/>
        </a:p>
      </dgm:t>
    </dgm:pt>
    <dgm:pt modelId="{C6C79865-B414-43FA-8131-DC65BCCBAEE0}">
      <dgm:prSet phldrT="[Text]"/>
      <dgm:spPr>
        <a:noFill/>
        <a:ln>
          <a:solidFill>
            <a:srgbClr val="00A4EF">
              <a:alpha val="90000"/>
            </a:srgbClr>
          </a:solidFill>
        </a:ln>
      </dgm:spPr>
      <dgm:t>
        <a:bodyPr anchor="ctr"/>
        <a:lstStyle/>
        <a:p>
          <a:r>
            <a:rPr lang="en-AU"/>
            <a:t>Complete the task</a:t>
          </a:r>
        </a:p>
      </dgm:t>
    </dgm:pt>
    <dgm:pt modelId="{68669CC5-1785-4072-B00A-8298D3CA4FB0}" type="parTrans" cxnId="{4FDF0D0E-B39B-4F10-8BC5-FD43F08B4554}">
      <dgm:prSet/>
      <dgm:spPr/>
      <dgm:t>
        <a:bodyPr/>
        <a:lstStyle/>
        <a:p>
          <a:endParaRPr lang="en-AU"/>
        </a:p>
      </dgm:t>
    </dgm:pt>
    <dgm:pt modelId="{2AA3F08D-1549-4A3B-8227-916E7061BF64}" type="sibTrans" cxnId="{4FDF0D0E-B39B-4F10-8BC5-FD43F08B4554}">
      <dgm:prSet/>
      <dgm:spPr/>
      <dgm:t>
        <a:bodyPr/>
        <a:lstStyle/>
        <a:p>
          <a:endParaRPr lang="en-AU"/>
        </a:p>
      </dgm:t>
    </dgm:pt>
    <dgm:pt modelId="{F7A0F7CC-40C3-49E2-8C7D-230B05971C41}">
      <dgm:prSet phldrT="[Text]"/>
      <dgm:spPr>
        <a:solidFill>
          <a:srgbClr val="F25022"/>
        </a:solidFill>
        <a:ln>
          <a:solidFill>
            <a:srgbClr val="F25022"/>
          </a:solidFill>
        </a:ln>
      </dgm:spPr>
      <dgm:t>
        <a:bodyPr/>
        <a:lstStyle/>
        <a:p>
          <a:r>
            <a:rPr lang="en-AU"/>
            <a:t>Accountable</a:t>
          </a:r>
        </a:p>
      </dgm:t>
    </dgm:pt>
    <dgm:pt modelId="{D114F559-ED84-40D1-956A-6A5A105DD478}" type="parTrans" cxnId="{09EDD4D5-2AAA-4DF2-97B0-F5409383822B}">
      <dgm:prSet/>
      <dgm:spPr/>
      <dgm:t>
        <a:bodyPr/>
        <a:lstStyle/>
        <a:p>
          <a:endParaRPr lang="en-AU"/>
        </a:p>
      </dgm:t>
    </dgm:pt>
    <dgm:pt modelId="{15A6EA2E-C572-4B0D-9EE5-045C273F02AA}" type="sibTrans" cxnId="{09EDD4D5-2AAA-4DF2-97B0-F5409383822B}">
      <dgm:prSet/>
      <dgm:spPr/>
      <dgm:t>
        <a:bodyPr/>
        <a:lstStyle/>
        <a:p>
          <a:endParaRPr lang="en-AU"/>
        </a:p>
      </dgm:t>
    </dgm:pt>
    <dgm:pt modelId="{6F07B148-0F5C-4102-A767-9D3A591B790E}">
      <dgm:prSet phldrT="[Text]"/>
      <dgm:spPr>
        <a:noFill/>
        <a:ln>
          <a:solidFill>
            <a:srgbClr val="F25022">
              <a:alpha val="90000"/>
            </a:srgbClr>
          </a:solidFill>
        </a:ln>
      </dgm:spPr>
      <dgm:t>
        <a:bodyPr anchor="ctr"/>
        <a:lstStyle/>
        <a:p>
          <a:r>
            <a:rPr lang="en-AU">
              <a:solidFill>
                <a:schemeClr val="tx1"/>
              </a:solidFill>
            </a:rPr>
            <a:t>Own the task</a:t>
          </a:r>
        </a:p>
      </dgm:t>
    </dgm:pt>
    <dgm:pt modelId="{66EAD4E5-DD94-4527-919B-A3920E7A3C4C}" type="parTrans" cxnId="{E05B5C4F-CDA6-4292-9B03-0D098DB6691D}">
      <dgm:prSet/>
      <dgm:spPr/>
      <dgm:t>
        <a:bodyPr/>
        <a:lstStyle/>
        <a:p>
          <a:endParaRPr lang="en-AU"/>
        </a:p>
      </dgm:t>
    </dgm:pt>
    <dgm:pt modelId="{E3E46A4B-A041-4112-BB3D-9F2EC30B97E9}" type="sibTrans" cxnId="{E05B5C4F-CDA6-4292-9B03-0D098DB6691D}">
      <dgm:prSet/>
      <dgm:spPr/>
      <dgm:t>
        <a:bodyPr/>
        <a:lstStyle/>
        <a:p>
          <a:endParaRPr lang="en-AU"/>
        </a:p>
      </dgm:t>
    </dgm:pt>
    <dgm:pt modelId="{5CC1D884-3E68-4499-A642-9D434922A51E}">
      <dgm:prSet phldrT="[Text]"/>
      <dgm:spPr>
        <a:solidFill>
          <a:srgbClr val="7FBA00"/>
        </a:solidFill>
        <a:ln>
          <a:solidFill>
            <a:srgbClr val="7FBA00"/>
          </a:solidFill>
        </a:ln>
      </dgm:spPr>
      <dgm:t>
        <a:bodyPr/>
        <a:lstStyle/>
        <a:p>
          <a:r>
            <a:rPr lang="en-AU">
              <a:solidFill>
                <a:schemeClr val="tx1"/>
              </a:solidFill>
            </a:rPr>
            <a:t>Consulted</a:t>
          </a:r>
        </a:p>
      </dgm:t>
    </dgm:pt>
    <dgm:pt modelId="{2B4F7FB8-014C-44E5-BE40-ED67F6F6D6D2}" type="parTrans" cxnId="{F3EA3B3D-EB74-493B-89C4-886B9FE4A488}">
      <dgm:prSet/>
      <dgm:spPr/>
      <dgm:t>
        <a:bodyPr/>
        <a:lstStyle/>
        <a:p>
          <a:endParaRPr lang="en-AU"/>
        </a:p>
      </dgm:t>
    </dgm:pt>
    <dgm:pt modelId="{63D8C4B1-3AB9-456F-BD4E-E59560DD6CEC}" type="sibTrans" cxnId="{F3EA3B3D-EB74-493B-89C4-886B9FE4A488}">
      <dgm:prSet/>
      <dgm:spPr/>
      <dgm:t>
        <a:bodyPr/>
        <a:lstStyle/>
        <a:p>
          <a:endParaRPr lang="en-AU"/>
        </a:p>
      </dgm:t>
    </dgm:pt>
    <dgm:pt modelId="{E6552A03-8152-4DFC-872E-C1B4D80843A6}">
      <dgm:prSet phldrT="[Text]"/>
      <dgm:spPr>
        <a:noFill/>
        <a:ln>
          <a:solidFill>
            <a:srgbClr val="7FBA00">
              <a:alpha val="90000"/>
            </a:srgbClr>
          </a:solidFill>
        </a:ln>
      </dgm:spPr>
      <dgm:t>
        <a:bodyPr anchor="ctr"/>
        <a:lstStyle/>
        <a:p>
          <a:r>
            <a:rPr lang="en-AU" i="1"/>
            <a:t>Typically subject-matter experts that are consulted to complete a task</a:t>
          </a:r>
          <a:endParaRPr lang="en-AU"/>
        </a:p>
      </dgm:t>
    </dgm:pt>
    <dgm:pt modelId="{286A5DB9-89B3-4527-9AFF-BE7864DCD101}" type="parTrans" cxnId="{F050ABCC-9512-4D13-9926-F104A9821ED2}">
      <dgm:prSet/>
      <dgm:spPr/>
      <dgm:t>
        <a:bodyPr/>
        <a:lstStyle/>
        <a:p>
          <a:endParaRPr lang="en-AU"/>
        </a:p>
      </dgm:t>
    </dgm:pt>
    <dgm:pt modelId="{DA79CA78-2C98-4272-9D30-D8CBDF62A95E}" type="sibTrans" cxnId="{F050ABCC-9512-4D13-9926-F104A9821ED2}">
      <dgm:prSet/>
      <dgm:spPr/>
      <dgm:t>
        <a:bodyPr/>
        <a:lstStyle/>
        <a:p>
          <a:endParaRPr lang="en-AU"/>
        </a:p>
      </dgm:t>
    </dgm:pt>
    <dgm:pt modelId="{65B3A176-DE67-42A4-92AC-B3A6716BCD34}">
      <dgm:prSet phldrT="[Text]"/>
      <dgm:spPr>
        <a:solidFill>
          <a:srgbClr val="FFB900"/>
        </a:solidFill>
        <a:ln>
          <a:solidFill>
            <a:srgbClr val="FFB900"/>
          </a:solidFill>
        </a:ln>
      </dgm:spPr>
      <dgm:t>
        <a:bodyPr/>
        <a:lstStyle/>
        <a:p>
          <a:r>
            <a:rPr lang="en-AU">
              <a:solidFill>
                <a:schemeClr val="tx1"/>
              </a:solidFill>
            </a:rPr>
            <a:t>Informed</a:t>
          </a:r>
        </a:p>
      </dgm:t>
    </dgm:pt>
    <dgm:pt modelId="{986F001D-5BBB-4E91-A53F-0F5B1587030E}" type="parTrans" cxnId="{0E9225E8-3BB0-4200-AFBB-60FD11498177}">
      <dgm:prSet/>
      <dgm:spPr/>
      <dgm:t>
        <a:bodyPr/>
        <a:lstStyle/>
        <a:p>
          <a:endParaRPr lang="en-AU"/>
        </a:p>
      </dgm:t>
    </dgm:pt>
    <dgm:pt modelId="{EE1D6BE3-B109-4036-869C-CB0D412454BF}" type="sibTrans" cxnId="{0E9225E8-3BB0-4200-AFBB-60FD11498177}">
      <dgm:prSet/>
      <dgm:spPr/>
      <dgm:t>
        <a:bodyPr/>
        <a:lstStyle/>
        <a:p>
          <a:endParaRPr lang="en-AU"/>
        </a:p>
      </dgm:t>
    </dgm:pt>
    <dgm:pt modelId="{B7A11450-A0AA-4399-BA4D-25B2D4782974}">
      <dgm:prSet phldrT="[Text]"/>
      <dgm:spPr>
        <a:noFill/>
        <a:ln>
          <a:solidFill>
            <a:srgbClr val="FFB900">
              <a:alpha val="90000"/>
            </a:srgbClr>
          </a:solidFill>
        </a:ln>
      </dgm:spPr>
      <dgm:t>
        <a:bodyPr anchor="ctr"/>
        <a:lstStyle/>
        <a:p>
          <a:pPr algn="l"/>
          <a:r>
            <a:rPr lang="en-AU"/>
            <a:t>Impacted by the task and are provided status and informed of decisions</a:t>
          </a:r>
        </a:p>
      </dgm:t>
    </dgm:pt>
    <dgm:pt modelId="{B46BDE3C-77ED-4104-BEB1-4924A1E53D07}" type="parTrans" cxnId="{8CDCCEBE-8516-4172-95D3-B9BDA1971C1F}">
      <dgm:prSet/>
      <dgm:spPr/>
      <dgm:t>
        <a:bodyPr/>
        <a:lstStyle/>
        <a:p>
          <a:endParaRPr lang="en-AU"/>
        </a:p>
      </dgm:t>
    </dgm:pt>
    <dgm:pt modelId="{37A1FB5F-9621-4FF2-9B3D-4F4D3A1A7725}" type="sibTrans" cxnId="{8CDCCEBE-8516-4172-95D3-B9BDA1971C1F}">
      <dgm:prSet/>
      <dgm:spPr/>
      <dgm:t>
        <a:bodyPr/>
        <a:lstStyle/>
        <a:p>
          <a:endParaRPr lang="en-AU"/>
        </a:p>
      </dgm:t>
    </dgm:pt>
    <dgm:pt modelId="{009C0F9B-FAF1-456B-BA9F-2D8CB28BE5E1}" type="pres">
      <dgm:prSet presAssocID="{4C0706E8-D022-43D2-A518-284B3392F028}" presName="Name0" presStyleCnt="0">
        <dgm:presLayoutVars>
          <dgm:dir/>
          <dgm:animLvl val="lvl"/>
          <dgm:resizeHandles val="exact"/>
        </dgm:presLayoutVars>
      </dgm:prSet>
      <dgm:spPr/>
    </dgm:pt>
    <dgm:pt modelId="{7EC2FFF7-3D47-48CB-9E96-A4D061652EB7}" type="pres">
      <dgm:prSet presAssocID="{BA35C0E7-AE73-4734-BBA2-7E39ADC249BB}" presName="composite" presStyleCnt="0"/>
      <dgm:spPr/>
    </dgm:pt>
    <dgm:pt modelId="{5A44061F-F316-4777-8917-AB75CB9D3DCA}" type="pres">
      <dgm:prSet presAssocID="{BA35C0E7-AE73-4734-BBA2-7E39ADC249BB}" presName="parTx" presStyleLbl="alignNode1" presStyleIdx="0" presStyleCnt="4">
        <dgm:presLayoutVars>
          <dgm:chMax val="0"/>
          <dgm:chPref val="0"/>
          <dgm:bulletEnabled val="1"/>
        </dgm:presLayoutVars>
      </dgm:prSet>
      <dgm:spPr/>
    </dgm:pt>
    <dgm:pt modelId="{9A05DD15-B170-4D81-8F6E-9E9740C154F4}" type="pres">
      <dgm:prSet presAssocID="{BA35C0E7-AE73-4734-BBA2-7E39ADC249BB}" presName="desTx" presStyleLbl="alignAccFollowNode1" presStyleIdx="0" presStyleCnt="4">
        <dgm:presLayoutVars>
          <dgm:bulletEnabled val="1"/>
        </dgm:presLayoutVars>
      </dgm:prSet>
      <dgm:spPr/>
    </dgm:pt>
    <dgm:pt modelId="{014BA09D-A93A-4257-ACB3-2511E87EAF96}" type="pres">
      <dgm:prSet presAssocID="{BA539458-E235-46EA-8911-480810AC8683}" presName="space" presStyleCnt="0"/>
      <dgm:spPr/>
    </dgm:pt>
    <dgm:pt modelId="{911049E7-BDC1-4FBE-BF7E-A03AA3F92FFD}" type="pres">
      <dgm:prSet presAssocID="{F7A0F7CC-40C3-49E2-8C7D-230B05971C41}" presName="composite" presStyleCnt="0"/>
      <dgm:spPr/>
    </dgm:pt>
    <dgm:pt modelId="{C7624C7F-80F5-4794-9807-5F62666794B8}" type="pres">
      <dgm:prSet presAssocID="{F7A0F7CC-40C3-49E2-8C7D-230B05971C41}" presName="parTx" presStyleLbl="alignNode1" presStyleIdx="1" presStyleCnt="4">
        <dgm:presLayoutVars>
          <dgm:chMax val="0"/>
          <dgm:chPref val="0"/>
          <dgm:bulletEnabled val="1"/>
        </dgm:presLayoutVars>
      </dgm:prSet>
      <dgm:spPr/>
    </dgm:pt>
    <dgm:pt modelId="{7184B92B-152B-4E93-AF37-F41BF3CF2E7B}" type="pres">
      <dgm:prSet presAssocID="{F7A0F7CC-40C3-49E2-8C7D-230B05971C41}" presName="desTx" presStyleLbl="alignAccFollowNode1" presStyleIdx="1" presStyleCnt="4">
        <dgm:presLayoutVars>
          <dgm:bulletEnabled val="1"/>
        </dgm:presLayoutVars>
      </dgm:prSet>
      <dgm:spPr/>
    </dgm:pt>
    <dgm:pt modelId="{F5F380CA-72F5-4DCB-8656-6D0AD46A3F86}" type="pres">
      <dgm:prSet presAssocID="{15A6EA2E-C572-4B0D-9EE5-045C273F02AA}" presName="space" presStyleCnt="0"/>
      <dgm:spPr/>
    </dgm:pt>
    <dgm:pt modelId="{13F3003E-24F7-4C43-A66E-D660F6DAF0A9}" type="pres">
      <dgm:prSet presAssocID="{5CC1D884-3E68-4499-A642-9D434922A51E}" presName="composite" presStyleCnt="0"/>
      <dgm:spPr/>
    </dgm:pt>
    <dgm:pt modelId="{89F6D989-5AAA-4527-B903-457FD1CE6265}" type="pres">
      <dgm:prSet presAssocID="{5CC1D884-3E68-4499-A642-9D434922A51E}" presName="parTx" presStyleLbl="alignNode1" presStyleIdx="2" presStyleCnt="4">
        <dgm:presLayoutVars>
          <dgm:chMax val="0"/>
          <dgm:chPref val="0"/>
          <dgm:bulletEnabled val="1"/>
        </dgm:presLayoutVars>
      </dgm:prSet>
      <dgm:spPr/>
    </dgm:pt>
    <dgm:pt modelId="{42B85DF0-7D82-4C51-8CEF-9963587F46EE}" type="pres">
      <dgm:prSet presAssocID="{5CC1D884-3E68-4499-A642-9D434922A51E}" presName="desTx" presStyleLbl="alignAccFollowNode1" presStyleIdx="2" presStyleCnt="4">
        <dgm:presLayoutVars>
          <dgm:bulletEnabled val="1"/>
        </dgm:presLayoutVars>
      </dgm:prSet>
      <dgm:spPr/>
    </dgm:pt>
    <dgm:pt modelId="{FF85FEF2-3A63-4D18-AC38-3ADDE2D7806A}" type="pres">
      <dgm:prSet presAssocID="{63D8C4B1-3AB9-456F-BD4E-E59560DD6CEC}" presName="space" presStyleCnt="0"/>
      <dgm:spPr/>
    </dgm:pt>
    <dgm:pt modelId="{C453021F-A8D3-4B8B-B6B1-231030793DED}" type="pres">
      <dgm:prSet presAssocID="{65B3A176-DE67-42A4-92AC-B3A6716BCD34}" presName="composite" presStyleCnt="0"/>
      <dgm:spPr/>
    </dgm:pt>
    <dgm:pt modelId="{15714AC1-2384-46C7-8118-F7EFD1989040}" type="pres">
      <dgm:prSet presAssocID="{65B3A176-DE67-42A4-92AC-B3A6716BCD34}" presName="parTx" presStyleLbl="alignNode1" presStyleIdx="3" presStyleCnt="4">
        <dgm:presLayoutVars>
          <dgm:chMax val="0"/>
          <dgm:chPref val="0"/>
          <dgm:bulletEnabled val="1"/>
        </dgm:presLayoutVars>
      </dgm:prSet>
      <dgm:spPr/>
    </dgm:pt>
    <dgm:pt modelId="{89ADEE0E-7897-4747-8912-30893656F95F}" type="pres">
      <dgm:prSet presAssocID="{65B3A176-DE67-42A4-92AC-B3A6716BCD34}" presName="desTx" presStyleLbl="alignAccFollowNode1" presStyleIdx="3" presStyleCnt="4">
        <dgm:presLayoutVars>
          <dgm:bulletEnabled val="1"/>
        </dgm:presLayoutVars>
      </dgm:prSet>
      <dgm:spPr/>
    </dgm:pt>
  </dgm:ptLst>
  <dgm:cxnLst>
    <dgm:cxn modelId="{4E7FC901-FD44-4209-A65F-6ED68B4F4B6A}" type="presOf" srcId="{65B3A176-DE67-42A4-92AC-B3A6716BCD34}" destId="{15714AC1-2384-46C7-8118-F7EFD1989040}" srcOrd="0" destOrd="0" presId="urn:microsoft.com/office/officeart/2005/8/layout/hList1"/>
    <dgm:cxn modelId="{4FDF0D0E-B39B-4F10-8BC5-FD43F08B4554}" srcId="{BA35C0E7-AE73-4734-BBA2-7E39ADC249BB}" destId="{C6C79865-B414-43FA-8131-DC65BCCBAEE0}" srcOrd="0" destOrd="0" parTransId="{68669CC5-1785-4072-B00A-8298D3CA4FB0}" sibTransId="{2AA3F08D-1549-4A3B-8227-916E7061BF64}"/>
    <dgm:cxn modelId="{43F12437-8870-44BA-A408-A0C8A60A09AF}" type="presOf" srcId="{BA35C0E7-AE73-4734-BBA2-7E39ADC249BB}" destId="{5A44061F-F316-4777-8917-AB75CB9D3DCA}" srcOrd="0" destOrd="0" presId="urn:microsoft.com/office/officeart/2005/8/layout/hList1"/>
    <dgm:cxn modelId="{F3EA3B3D-EB74-493B-89C4-886B9FE4A488}" srcId="{4C0706E8-D022-43D2-A518-284B3392F028}" destId="{5CC1D884-3E68-4499-A642-9D434922A51E}" srcOrd="2" destOrd="0" parTransId="{2B4F7FB8-014C-44E5-BE40-ED67F6F6D6D2}" sibTransId="{63D8C4B1-3AB9-456F-BD4E-E59560DD6CEC}"/>
    <dgm:cxn modelId="{1EA9E369-1056-4480-AF10-E65E4AC9A96A}" type="presOf" srcId="{6F07B148-0F5C-4102-A767-9D3A591B790E}" destId="{7184B92B-152B-4E93-AF37-F41BF3CF2E7B}" srcOrd="0" destOrd="0" presId="urn:microsoft.com/office/officeart/2005/8/layout/hList1"/>
    <dgm:cxn modelId="{E05B5C4F-CDA6-4292-9B03-0D098DB6691D}" srcId="{F7A0F7CC-40C3-49E2-8C7D-230B05971C41}" destId="{6F07B148-0F5C-4102-A767-9D3A591B790E}" srcOrd="0" destOrd="0" parTransId="{66EAD4E5-DD94-4527-919B-A3920E7A3C4C}" sibTransId="{E3E46A4B-A041-4112-BB3D-9F2EC30B97E9}"/>
    <dgm:cxn modelId="{BED0B079-33D2-4B4A-B1CC-1B4A7B2137EC}" type="presOf" srcId="{B7A11450-A0AA-4399-BA4D-25B2D4782974}" destId="{89ADEE0E-7897-4747-8912-30893656F95F}" srcOrd="0" destOrd="0" presId="urn:microsoft.com/office/officeart/2005/8/layout/hList1"/>
    <dgm:cxn modelId="{509F2F91-D01A-4C19-84A5-B8EC5F52AEBE}" type="presOf" srcId="{F7A0F7CC-40C3-49E2-8C7D-230B05971C41}" destId="{C7624C7F-80F5-4794-9807-5F62666794B8}" srcOrd="0" destOrd="0" presId="urn:microsoft.com/office/officeart/2005/8/layout/hList1"/>
    <dgm:cxn modelId="{8CDCCEBE-8516-4172-95D3-B9BDA1971C1F}" srcId="{65B3A176-DE67-42A4-92AC-B3A6716BCD34}" destId="{B7A11450-A0AA-4399-BA4D-25B2D4782974}" srcOrd="0" destOrd="0" parTransId="{B46BDE3C-77ED-4104-BEB1-4924A1E53D07}" sibTransId="{37A1FB5F-9621-4FF2-9B3D-4F4D3A1A7725}"/>
    <dgm:cxn modelId="{4EAAA8C5-914C-4DC9-85B8-437E8755CF28}" type="presOf" srcId="{4C0706E8-D022-43D2-A518-284B3392F028}" destId="{009C0F9B-FAF1-456B-BA9F-2D8CB28BE5E1}" srcOrd="0" destOrd="0" presId="urn:microsoft.com/office/officeart/2005/8/layout/hList1"/>
    <dgm:cxn modelId="{19D804CB-2E52-4BA9-8577-D74D2DB9CE4A}" srcId="{4C0706E8-D022-43D2-A518-284B3392F028}" destId="{BA35C0E7-AE73-4734-BBA2-7E39ADC249BB}" srcOrd="0" destOrd="0" parTransId="{94F09EAD-A408-405A-AAD2-02D4D365EF18}" sibTransId="{BA539458-E235-46EA-8911-480810AC8683}"/>
    <dgm:cxn modelId="{F050ABCC-9512-4D13-9926-F104A9821ED2}" srcId="{5CC1D884-3E68-4499-A642-9D434922A51E}" destId="{E6552A03-8152-4DFC-872E-C1B4D80843A6}" srcOrd="0" destOrd="0" parTransId="{286A5DB9-89B3-4527-9AFF-BE7864DCD101}" sibTransId="{DA79CA78-2C98-4272-9D30-D8CBDF62A95E}"/>
    <dgm:cxn modelId="{4378F5CD-95DD-4D02-8EE1-2043CAF1E0BD}" type="presOf" srcId="{E6552A03-8152-4DFC-872E-C1B4D80843A6}" destId="{42B85DF0-7D82-4C51-8CEF-9963587F46EE}" srcOrd="0" destOrd="0" presId="urn:microsoft.com/office/officeart/2005/8/layout/hList1"/>
    <dgm:cxn modelId="{1F0428D0-FEE2-47D0-8931-15C5D5A5DBFB}" type="presOf" srcId="{C6C79865-B414-43FA-8131-DC65BCCBAEE0}" destId="{9A05DD15-B170-4D81-8F6E-9E9740C154F4}" srcOrd="0" destOrd="0" presId="urn:microsoft.com/office/officeart/2005/8/layout/hList1"/>
    <dgm:cxn modelId="{09EDD4D5-2AAA-4DF2-97B0-F5409383822B}" srcId="{4C0706E8-D022-43D2-A518-284B3392F028}" destId="{F7A0F7CC-40C3-49E2-8C7D-230B05971C41}" srcOrd="1" destOrd="0" parTransId="{D114F559-ED84-40D1-956A-6A5A105DD478}" sibTransId="{15A6EA2E-C572-4B0D-9EE5-045C273F02AA}"/>
    <dgm:cxn modelId="{0E9225E8-3BB0-4200-AFBB-60FD11498177}" srcId="{4C0706E8-D022-43D2-A518-284B3392F028}" destId="{65B3A176-DE67-42A4-92AC-B3A6716BCD34}" srcOrd="3" destOrd="0" parTransId="{986F001D-5BBB-4E91-A53F-0F5B1587030E}" sibTransId="{EE1D6BE3-B109-4036-869C-CB0D412454BF}"/>
    <dgm:cxn modelId="{DC642EF4-60A4-4BAF-BCD0-931877AE07A4}" type="presOf" srcId="{5CC1D884-3E68-4499-A642-9D434922A51E}" destId="{89F6D989-5AAA-4527-B903-457FD1CE6265}" srcOrd="0" destOrd="0" presId="urn:microsoft.com/office/officeart/2005/8/layout/hList1"/>
    <dgm:cxn modelId="{A327FB8F-1964-4244-9461-1F286E3109DD}" type="presParOf" srcId="{009C0F9B-FAF1-456B-BA9F-2D8CB28BE5E1}" destId="{7EC2FFF7-3D47-48CB-9E96-A4D061652EB7}" srcOrd="0" destOrd="0" presId="urn:microsoft.com/office/officeart/2005/8/layout/hList1"/>
    <dgm:cxn modelId="{2558060F-C841-46E8-9D23-025AC2DC9FEB}" type="presParOf" srcId="{7EC2FFF7-3D47-48CB-9E96-A4D061652EB7}" destId="{5A44061F-F316-4777-8917-AB75CB9D3DCA}" srcOrd="0" destOrd="0" presId="urn:microsoft.com/office/officeart/2005/8/layout/hList1"/>
    <dgm:cxn modelId="{C012221D-5EAB-4B7A-AC54-57256BD6E1C2}" type="presParOf" srcId="{7EC2FFF7-3D47-48CB-9E96-A4D061652EB7}" destId="{9A05DD15-B170-4D81-8F6E-9E9740C154F4}" srcOrd="1" destOrd="0" presId="urn:microsoft.com/office/officeart/2005/8/layout/hList1"/>
    <dgm:cxn modelId="{64635CF7-1CD2-46CE-B7D4-C54A3DF0354A}" type="presParOf" srcId="{009C0F9B-FAF1-456B-BA9F-2D8CB28BE5E1}" destId="{014BA09D-A93A-4257-ACB3-2511E87EAF96}" srcOrd="1" destOrd="0" presId="urn:microsoft.com/office/officeart/2005/8/layout/hList1"/>
    <dgm:cxn modelId="{EFAD9F52-F576-48E6-9508-C298966DA968}" type="presParOf" srcId="{009C0F9B-FAF1-456B-BA9F-2D8CB28BE5E1}" destId="{911049E7-BDC1-4FBE-BF7E-A03AA3F92FFD}" srcOrd="2" destOrd="0" presId="urn:microsoft.com/office/officeart/2005/8/layout/hList1"/>
    <dgm:cxn modelId="{9E2A2CFB-13F6-45E4-BEFB-CBC5F6560478}" type="presParOf" srcId="{911049E7-BDC1-4FBE-BF7E-A03AA3F92FFD}" destId="{C7624C7F-80F5-4794-9807-5F62666794B8}" srcOrd="0" destOrd="0" presId="urn:microsoft.com/office/officeart/2005/8/layout/hList1"/>
    <dgm:cxn modelId="{2FDCDD60-D684-4307-A6EE-849D9909AAF5}" type="presParOf" srcId="{911049E7-BDC1-4FBE-BF7E-A03AA3F92FFD}" destId="{7184B92B-152B-4E93-AF37-F41BF3CF2E7B}" srcOrd="1" destOrd="0" presId="urn:microsoft.com/office/officeart/2005/8/layout/hList1"/>
    <dgm:cxn modelId="{0E97E506-AACE-441A-B4AB-5C40DC404FF3}" type="presParOf" srcId="{009C0F9B-FAF1-456B-BA9F-2D8CB28BE5E1}" destId="{F5F380CA-72F5-4DCB-8656-6D0AD46A3F86}" srcOrd="3" destOrd="0" presId="urn:microsoft.com/office/officeart/2005/8/layout/hList1"/>
    <dgm:cxn modelId="{FB512C03-6BF2-4B14-A226-869D83F4FD45}" type="presParOf" srcId="{009C0F9B-FAF1-456B-BA9F-2D8CB28BE5E1}" destId="{13F3003E-24F7-4C43-A66E-D660F6DAF0A9}" srcOrd="4" destOrd="0" presId="urn:microsoft.com/office/officeart/2005/8/layout/hList1"/>
    <dgm:cxn modelId="{101D034B-7A63-4BC1-BB62-0A20A7276F7E}" type="presParOf" srcId="{13F3003E-24F7-4C43-A66E-D660F6DAF0A9}" destId="{89F6D989-5AAA-4527-B903-457FD1CE6265}" srcOrd="0" destOrd="0" presId="urn:microsoft.com/office/officeart/2005/8/layout/hList1"/>
    <dgm:cxn modelId="{B1A32BA1-7AD1-4878-AE64-1D500F1AE401}" type="presParOf" srcId="{13F3003E-24F7-4C43-A66E-D660F6DAF0A9}" destId="{42B85DF0-7D82-4C51-8CEF-9963587F46EE}" srcOrd="1" destOrd="0" presId="urn:microsoft.com/office/officeart/2005/8/layout/hList1"/>
    <dgm:cxn modelId="{D25F99E2-C49F-4CDA-A36C-2DD934C2B2B3}" type="presParOf" srcId="{009C0F9B-FAF1-456B-BA9F-2D8CB28BE5E1}" destId="{FF85FEF2-3A63-4D18-AC38-3ADDE2D7806A}" srcOrd="5" destOrd="0" presId="urn:microsoft.com/office/officeart/2005/8/layout/hList1"/>
    <dgm:cxn modelId="{0D29BAB7-3F8C-4F1A-B727-14A1D23AE575}" type="presParOf" srcId="{009C0F9B-FAF1-456B-BA9F-2D8CB28BE5E1}" destId="{C453021F-A8D3-4B8B-B6B1-231030793DED}" srcOrd="6" destOrd="0" presId="urn:microsoft.com/office/officeart/2005/8/layout/hList1"/>
    <dgm:cxn modelId="{FDDB39EB-99B4-4343-99C4-EC203AB82C05}" type="presParOf" srcId="{C453021F-A8D3-4B8B-B6B1-231030793DED}" destId="{15714AC1-2384-46C7-8118-F7EFD1989040}" srcOrd="0" destOrd="0" presId="urn:microsoft.com/office/officeart/2005/8/layout/hList1"/>
    <dgm:cxn modelId="{58C7BC68-8E28-4BF8-9614-10DBEDF5A837}" type="presParOf" srcId="{C453021F-A8D3-4B8B-B6B1-231030793DED}" destId="{89ADEE0E-7897-4747-8912-30893656F95F}" srcOrd="1" destOrd="0" presId="urn:microsoft.com/office/officeart/2005/8/layout/hList1"/>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9.xml><?xml version="1.0" encoding="utf-8"?>
<dgm:dataModel xmlns:dgm="http://schemas.openxmlformats.org/drawingml/2006/diagram" xmlns:a="http://schemas.openxmlformats.org/drawingml/2006/main">
  <dgm:ptLst>
    <dgm:pt modelId="{65D7F520-64D5-4B23-AD1C-0C547276D12D}" type="doc">
      <dgm:prSet loTypeId="urn:microsoft.com/office/officeart/2005/8/layout/target3" loCatId="relationship" qsTypeId="urn:microsoft.com/office/officeart/2005/8/quickstyle/simple1" qsCatId="simple" csTypeId="urn:microsoft.com/office/officeart/2005/8/colors/accent2_2" csCatId="accent2" phldr="1"/>
      <dgm:spPr/>
      <dgm:t>
        <a:bodyPr/>
        <a:lstStyle/>
        <a:p>
          <a:endParaRPr lang="en-AU"/>
        </a:p>
      </dgm:t>
    </dgm:pt>
    <dgm:pt modelId="{19EAE42D-9877-44D2-80B5-440E6575135C}">
      <dgm:prSet phldrT="[Text]"/>
      <dgm:spPr>
        <a:ln>
          <a:solidFill>
            <a:schemeClr val="bg1">
              <a:lumMod val="95000"/>
            </a:schemeClr>
          </a:solidFill>
        </a:ln>
      </dgm:spPr>
      <dgm:t>
        <a:bodyPr/>
        <a:lstStyle/>
        <a:p>
          <a:r>
            <a:rPr lang="en-AU"/>
            <a:t>Global </a:t>
          </a:r>
          <a:r>
            <a:rPr lang="en-AU" baseline="30000"/>
            <a:t>1</a:t>
          </a:r>
        </a:p>
      </dgm:t>
    </dgm:pt>
    <dgm:pt modelId="{D6EAE147-3B6B-4AC3-8142-1FED5F1B7D42}" type="parTrans" cxnId="{525EA234-C29B-434E-A56A-4921AC0A35BD}">
      <dgm:prSet/>
      <dgm:spPr/>
      <dgm:t>
        <a:bodyPr/>
        <a:lstStyle/>
        <a:p>
          <a:endParaRPr lang="en-AU"/>
        </a:p>
      </dgm:t>
    </dgm:pt>
    <dgm:pt modelId="{6C9C1B58-A407-41F0-AF5F-CB8B8666AC67}" type="sibTrans" cxnId="{525EA234-C29B-434E-A56A-4921AC0A35BD}">
      <dgm:prSet/>
      <dgm:spPr/>
      <dgm:t>
        <a:bodyPr/>
        <a:lstStyle/>
        <a:p>
          <a:endParaRPr lang="en-AU"/>
        </a:p>
      </dgm:t>
    </dgm:pt>
    <dgm:pt modelId="{1D2DA9C4-1BD0-493D-81EE-C5C715AAC131}">
      <dgm:prSet phldrT="[Text]"/>
      <dgm:spPr/>
      <dgm:t>
        <a:bodyPr/>
        <a:lstStyle/>
        <a:p>
          <a:r>
            <a:rPr lang="en-AU"/>
            <a:t>Resources: Service Providers, Authorities, IT Support</a:t>
          </a:r>
        </a:p>
      </dgm:t>
    </dgm:pt>
    <dgm:pt modelId="{23A52A61-B1C7-478F-95DA-3DBBC873F942}" type="parTrans" cxnId="{ABB2F86D-4D43-457F-B15B-8B358794E16D}">
      <dgm:prSet/>
      <dgm:spPr/>
      <dgm:t>
        <a:bodyPr/>
        <a:lstStyle/>
        <a:p>
          <a:endParaRPr lang="en-AU"/>
        </a:p>
      </dgm:t>
    </dgm:pt>
    <dgm:pt modelId="{22111765-F7BD-4F49-A38B-0CF9D346CAED}" type="sibTrans" cxnId="{ABB2F86D-4D43-457F-B15B-8B358794E16D}">
      <dgm:prSet/>
      <dgm:spPr/>
      <dgm:t>
        <a:bodyPr/>
        <a:lstStyle/>
        <a:p>
          <a:endParaRPr lang="en-AU"/>
        </a:p>
      </dgm:t>
    </dgm:pt>
    <dgm:pt modelId="{EA71B456-1FC0-4DE4-9F4A-417378843C82}">
      <dgm:prSet phldrT="[Text]"/>
      <dgm:spPr/>
      <dgm:t>
        <a:bodyPr/>
        <a:lstStyle/>
        <a:p>
          <a:r>
            <a:rPr lang="en-AU"/>
            <a:t>Availability (automated): Failover from the primary region (Australia East) to the secondary region (Australia Southeast) for all services delivering a critical business function. Deploy services to get the maximum  Microsoft SLA.</a:t>
          </a:r>
        </a:p>
      </dgm:t>
    </dgm:pt>
    <dgm:pt modelId="{C3851F51-0FAB-43AF-93FA-60BF17C4BBB5}" type="parTrans" cxnId="{3B8D7793-26A7-4365-AA86-77826630219E}">
      <dgm:prSet/>
      <dgm:spPr/>
      <dgm:t>
        <a:bodyPr/>
        <a:lstStyle/>
        <a:p>
          <a:endParaRPr lang="en-AU"/>
        </a:p>
      </dgm:t>
    </dgm:pt>
    <dgm:pt modelId="{00D7CDB1-61C5-4A72-93D6-DAC7026886B4}" type="sibTrans" cxnId="{3B8D7793-26A7-4365-AA86-77826630219E}">
      <dgm:prSet/>
      <dgm:spPr/>
      <dgm:t>
        <a:bodyPr/>
        <a:lstStyle/>
        <a:p>
          <a:endParaRPr lang="en-AU"/>
        </a:p>
      </dgm:t>
    </dgm:pt>
    <dgm:pt modelId="{3CDDBF29-DC40-4785-8E55-88681EE6810C}">
      <dgm:prSet phldrT="[Text]"/>
      <dgm:spPr>
        <a:ln>
          <a:solidFill>
            <a:schemeClr val="bg1">
              <a:lumMod val="95000"/>
            </a:schemeClr>
          </a:solidFill>
        </a:ln>
      </dgm:spPr>
      <dgm:t>
        <a:bodyPr/>
        <a:lstStyle/>
        <a:p>
          <a:r>
            <a:rPr lang="en-AU"/>
            <a:t>Azure Zone </a:t>
          </a:r>
          <a:r>
            <a:rPr lang="en-AU" baseline="30000"/>
            <a:t>1</a:t>
          </a:r>
          <a:endParaRPr lang="en-AU"/>
        </a:p>
      </dgm:t>
    </dgm:pt>
    <dgm:pt modelId="{2BC0311E-108B-4F7F-910A-2A6ECEB4DB8F}" type="parTrans" cxnId="{0A522BBC-C6F6-441A-AF76-FF9E45EA4136}">
      <dgm:prSet/>
      <dgm:spPr/>
      <dgm:t>
        <a:bodyPr/>
        <a:lstStyle/>
        <a:p>
          <a:endParaRPr lang="en-AU"/>
        </a:p>
      </dgm:t>
    </dgm:pt>
    <dgm:pt modelId="{2668B911-5B6F-4EEA-B511-4BEF45BC69AE}" type="sibTrans" cxnId="{0A522BBC-C6F6-441A-AF76-FF9E45EA4136}">
      <dgm:prSet/>
      <dgm:spPr/>
      <dgm:t>
        <a:bodyPr/>
        <a:lstStyle/>
        <a:p>
          <a:endParaRPr lang="en-AU"/>
        </a:p>
      </dgm:t>
    </dgm:pt>
    <dgm:pt modelId="{AA11F0D9-1E23-4BD4-9CAB-E5603F5E13B3}">
      <dgm:prSet phldrT="[Text]"/>
      <dgm:spPr/>
      <dgm:t>
        <a:bodyPr/>
        <a:lstStyle/>
        <a:p>
          <a:r>
            <a:rPr lang="en-AU"/>
            <a:t>Availability (automated): None</a:t>
          </a:r>
        </a:p>
      </dgm:t>
    </dgm:pt>
    <dgm:pt modelId="{3D23AD14-850E-4742-A3AB-987BEE77DC1B}" type="parTrans" cxnId="{40CAB6AB-E6A4-4084-8BA2-D49F594B248E}">
      <dgm:prSet/>
      <dgm:spPr/>
      <dgm:t>
        <a:bodyPr/>
        <a:lstStyle/>
        <a:p>
          <a:endParaRPr lang="en-AU"/>
        </a:p>
      </dgm:t>
    </dgm:pt>
    <dgm:pt modelId="{B511730D-B87F-4CD6-B712-C9BDCD95B499}" type="sibTrans" cxnId="{40CAB6AB-E6A4-4084-8BA2-D49F594B248E}">
      <dgm:prSet/>
      <dgm:spPr/>
      <dgm:t>
        <a:bodyPr/>
        <a:lstStyle/>
        <a:p>
          <a:endParaRPr lang="en-AU"/>
        </a:p>
      </dgm:t>
    </dgm:pt>
    <dgm:pt modelId="{12CEEEE2-D966-4F23-9212-25B813CA634D}">
      <dgm:prSet phldrT="[Text]"/>
      <dgm:spPr/>
      <dgm:t>
        <a:bodyPr/>
        <a:lstStyle/>
        <a:p>
          <a:r>
            <a:rPr lang="en-AU"/>
            <a:t>Availability (automated): Failover between three zones for all services delivering a critical business function</a:t>
          </a:r>
        </a:p>
      </dgm:t>
    </dgm:pt>
    <dgm:pt modelId="{CECD3F75-0B0E-4102-BD0E-2A204C4D8A72}" type="parTrans" cxnId="{3E805ACE-AC86-45FB-B54B-C5110816D818}">
      <dgm:prSet/>
      <dgm:spPr/>
      <dgm:t>
        <a:bodyPr/>
        <a:lstStyle/>
        <a:p>
          <a:endParaRPr lang="en-AU"/>
        </a:p>
      </dgm:t>
    </dgm:pt>
    <dgm:pt modelId="{8BB7FE88-9EF3-4F05-8C90-91B94151973F}" type="sibTrans" cxnId="{3E805ACE-AC86-45FB-B54B-C5110816D818}">
      <dgm:prSet/>
      <dgm:spPr/>
      <dgm:t>
        <a:bodyPr/>
        <a:lstStyle/>
        <a:p>
          <a:endParaRPr lang="en-AU"/>
        </a:p>
      </dgm:t>
    </dgm:pt>
    <dgm:pt modelId="{99EBF327-D30D-4541-93F0-4D8C92111EFE}">
      <dgm:prSet phldrT="[Text]"/>
      <dgm:spPr>
        <a:ln>
          <a:solidFill>
            <a:schemeClr val="bg1">
              <a:lumMod val="95000"/>
            </a:schemeClr>
          </a:solidFill>
        </a:ln>
      </dgm:spPr>
      <dgm:t>
        <a:bodyPr/>
        <a:lstStyle/>
        <a:p>
          <a:r>
            <a:rPr lang="en-AU"/>
            <a:t>Azure Service Instance </a:t>
          </a:r>
          <a:r>
            <a:rPr lang="en-AU" baseline="30000"/>
            <a:t>1</a:t>
          </a:r>
          <a:endParaRPr lang="en-AU"/>
        </a:p>
      </dgm:t>
    </dgm:pt>
    <dgm:pt modelId="{7A5FAF48-D204-4A9C-8F14-A30E112890A4}" type="parTrans" cxnId="{FF3A93DD-0CA7-4340-B11B-3D84DA45A0D3}">
      <dgm:prSet/>
      <dgm:spPr/>
      <dgm:t>
        <a:bodyPr/>
        <a:lstStyle/>
        <a:p>
          <a:endParaRPr lang="en-AU"/>
        </a:p>
      </dgm:t>
    </dgm:pt>
    <dgm:pt modelId="{82FE7308-38E7-4A9E-A01A-4BE3CC372198}" type="sibTrans" cxnId="{FF3A93DD-0CA7-4340-B11B-3D84DA45A0D3}">
      <dgm:prSet/>
      <dgm:spPr/>
      <dgm:t>
        <a:bodyPr/>
        <a:lstStyle/>
        <a:p>
          <a:endParaRPr lang="en-AU"/>
        </a:p>
      </dgm:t>
    </dgm:pt>
    <dgm:pt modelId="{F9AF7DD1-1A81-4E58-A55C-28C116029551}">
      <dgm:prSet phldrT="[Text]"/>
      <dgm:spPr>
        <a:ln>
          <a:solidFill>
            <a:schemeClr val="bg1">
              <a:lumMod val="95000"/>
            </a:schemeClr>
          </a:solidFill>
        </a:ln>
      </dgm:spPr>
      <dgm:t>
        <a:bodyPr/>
        <a:lstStyle/>
        <a:p>
          <a:r>
            <a:rPr lang="en-AU"/>
            <a:t>Azure Geography </a:t>
          </a:r>
          <a:r>
            <a:rPr lang="en-AU" baseline="30000"/>
            <a:t>1</a:t>
          </a:r>
          <a:endParaRPr lang="en-AU"/>
        </a:p>
      </dgm:t>
    </dgm:pt>
    <dgm:pt modelId="{707B0101-033C-47FA-9793-6252C03E2679}" type="parTrans" cxnId="{6DF7126C-A02C-484C-9400-E9F7510FA3D6}">
      <dgm:prSet/>
      <dgm:spPr/>
      <dgm:t>
        <a:bodyPr/>
        <a:lstStyle/>
        <a:p>
          <a:endParaRPr lang="en-AU"/>
        </a:p>
      </dgm:t>
    </dgm:pt>
    <dgm:pt modelId="{A1418302-4B98-4F28-B812-15E059B3D10B}" type="sibTrans" cxnId="{6DF7126C-A02C-484C-9400-E9F7510FA3D6}">
      <dgm:prSet/>
      <dgm:spPr/>
      <dgm:t>
        <a:bodyPr/>
        <a:lstStyle/>
        <a:p>
          <a:endParaRPr lang="en-AU"/>
        </a:p>
      </dgm:t>
    </dgm:pt>
    <dgm:pt modelId="{A0274517-B88B-4F83-98F1-D2CEBE7A7512}">
      <dgm:prSet phldrT="[Text]"/>
      <dgm:spPr/>
      <dgm:t>
        <a:bodyPr/>
        <a:lstStyle/>
        <a:p>
          <a:r>
            <a:rPr lang="en-AU"/>
            <a:t>Availability: None</a:t>
          </a:r>
        </a:p>
      </dgm:t>
    </dgm:pt>
    <dgm:pt modelId="{8ECF3DCD-D84D-4954-B88A-5058F4D744C5}" type="parTrans" cxnId="{368E1467-B7F4-474F-908E-7280E947309D}">
      <dgm:prSet/>
      <dgm:spPr/>
      <dgm:t>
        <a:bodyPr/>
        <a:lstStyle/>
        <a:p>
          <a:endParaRPr lang="en-AU"/>
        </a:p>
      </dgm:t>
    </dgm:pt>
    <dgm:pt modelId="{FC366214-5378-4D6F-9EB5-1B64150449DB}" type="sibTrans" cxnId="{368E1467-B7F4-474F-908E-7280E947309D}">
      <dgm:prSet/>
      <dgm:spPr/>
      <dgm:t>
        <a:bodyPr/>
        <a:lstStyle/>
        <a:p>
          <a:endParaRPr lang="en-AU"/>
        </a:p>
      </dgm:t>
    </dgm:pt>
    <dgm:pt modelId="{35050C18-43C0-4A0C-AA2F-6D7DC68EC4C9}">
      <dgm:prSet phldrT="[Text]"/>
      <dgm:spPr>
        <a:ln>
          <a:solidFill>
            <a:schemeClr val="bg1">
              <a:lumMod val="95000"/>
            </a:schemeClr>
          </a:solidFill>
        </a:ln>
      </dgm:spPr>
      <dgm:t>
        <a:bodyPr/>
        <a:lstStyle/>
        <a:p>
          <a:r>
            <a:rPr lang="en-AU"/>
            <a:t>Azure Region </a:t>
          </a:r>
          <a:r>
            <a:rPr lang="en-AU" baseline="30000"/>
            <a:t>1</a:t>
          </a:r>
          <a:endParaRPr lang="en-AU"/>
        </a:p>
      </dgm:t>
    </dgm:pt>
    <dgm:pt modelId="{82D9FF07-0BAB-414B-8AD8-9861C1FCC686}" type="parTrans" cxnId="{1E57FC80-B4B1-4293-83B5-9331DA4C81CE}">
      <dgm:prSet/>
      <dgm:spPr/>
      <dgm:t>
        <a:bodyPr/>
        <a:lstStyle/>
        <a:p>
          <a:endParaRPr lang="en-AU"/>
        </a:p>
      </dgm:t>
    </dgm:pt>
    <dgm:pt modelId="{465E1057-8D6F-4A39-83AE-4BDF10761E95}" type="sibTrans" cxnId="{1E57FC80-B4B1-4293-83B5-9331DA4C81CE}">
      <dgm:prSet/>
      <dgm:spPr/>
      <dgm:t>
        <a:bodyPr/>
        <a:lstStyle/>
        <a:p>
          <a:endParaRPr lang="en-AU"/>
        </a:p>
      </dgm:t>
    </dgm:pt>
    <dgm:pt modelId="{5810C717-AA99-432F-994B-456C1AB89D6C}">
      <dgm:prSet phldrT="[Text]"/>
      <dgm:spPr/>
      <dgm:t>
        <a:bodyPr/>
        <a:lstStyle/>
        <a:p>
          <a:r>
            <a:rPr lang="en-AU"/>
            <a:t>Continuity: Contingency Plan</a:t>
          </a:r>
        </a:p>
      </dgm:t>
    </dgm:pt>
    <dgm:pt modelId="{67F8D3E2-0F40-4613-A258-B13BDBD6AD1C}" type="parTrans" cxnId="{C785445C-C58F-48D5-A34D-F8EF2EA36BE7}">
      <dgm:prSet/>
      <dgm:spPr/>
      <dgm:t>
        <a:bodyPr/>
        <a:lstStyle/>
        <a:p>
          <a:endParaRPr lang="en-AU"/>
        </a:p>
      </dgm:t>
    </dgm:pt>
    <dgm:pt modelId="{C5DE1F2D-A6C3-41BB-9115-4E7D7AACDFF5}" type="sibTrans" cxnId="{C785445C-C58F-48D5-A34D-F8EF2EA36BE7}">
      <dgm:prSet/>
      <dgm:spPr/>
      <dgm:t>
        <a:bodyPr/>
        <a:lstStyle/>
        <a:p>
          <a:endParaRPr lang="en-AU"/>
        </a:p>
      </dgm:t>
    </dgm:pt>
    <dgm:pt modelId="{C90499C5-B062-4827-94A2-0DB11D81FED9}">
      <dgm:prSet phldrT="[Text]"/>
      <dgm:spPr/>
      <dgm:t>
        <a:bodyPr/>
        <a:lstStyle/>
        <a:p>
          <a:r>
            <a:rPr lang="en-AU"/>
            <a:t>Availability: None</a:t>
          </a:r>
        </a:p>
      </dgm:t>
    </dgm:pt>
    <dgm:pt modelId="{FAF7BC31-50D7-4A37-BC9B-4692B0A9EA3E}" type="parTrans" cxnId="{FC3E6C48-78D1-4875-B1BA-024172397B25}">
      <dgm:prSet/>
      <dgm:spPr/>
      <dgm:t>
        <a:bodyPr/>
        <a:lstStyle/>
        <a:p>
          <a:endParaRPr lang="en-AU"/>
        </a:p>
      </dgm:t>
    </dgm:pt>
    <dgm:pt modelId="{DF68A929-1413-44AE-8B39-4FACF47BD7BE}" type="sibTrans" cxnId="{FC3E6C48-78D1-4875-B1BA-024172397B25}">
      <dgm:prSet/>
      <dgm:spPr/>
      <dgm:t>
        <a:bodyPr/>
        <a:lstStyle/>
        <a:p>
          <a:endParaRPr lang="en-AU"/>
        </a:p>
      </dgm:t>
    </dgm:pt>
    <dgm:pt modelId="{81D20BC8-E1B7-4A12-8F91-C4CC2CBAE2C8}">
      <dgm:prSet phldrT="[Text]"/>
      <dgm:spPr/>
      <dgm:t>
        <a:bodyPr/>
        <a:lstStyle/>
        <a:p>
          <a:r>
            <a:rPr lang="en-AU"/>
            <a:t>Resources: Service Providers, Authorities, IT Support</a:t>
          </a:r>
        </a:p>
      </dgm:t>
    </dgm:pt>
    <dgm:pt modelId="{422E0811-A894-4278-A00D-E1BAD60E8E97}" type="parTrans" cxnId="{27E8E61D-BEFA-4CA6-8976-2FB4CD60F830}">
      <dgm:prSet/>
      <dgm:spPr/>
      <dgm:t>
        <a:bodyPr/>
        <a:lstStyle/>
        <a:p>
          <a:endParaRPr lang="en-AU"/>
        </a:p>
      </dgm:t>
    </dgm:pt>
    <dgm:pt modelId="{8B36A5B6-805A-4D67-8090-46C33F1F7B33}" type="sibTrans" cxnId="{27E8E61D-BEFA-4CA6-8976-2FB4CD60F830}">
      <dgm:prSet/>
      <dgm:spPr/>
      <dgm:t>
        <a:bodyPr/>
        <a:lstStyle/>
        <a:p>
          <a:endParaRPr lang="en-AU"/>
        </a:p>
      </dgm:t>
    </dgm:pt>
    <dgm:pt modelId="{2BA3BB49-3E1E-40CD-B183-E71A8802A2F3}">
      <dgm:prSet phldrT="[Text]"/>
      <dgm:spPr/>
      <dgm:t>
        <a:bodyPr/>
        <a:lstStyle/>
        <a:p>
          <a:r>
            <a:rPr lang="en-AU"/>
            <a:t>Continuity: Contingency Plan</a:t>
          </a:r>
        </a:p>
      </dgm:t>
    </dgm:pt>
    <dgm:pt modelId="{957E37B2-7F5F-410A-8F07-ED90AB324E32}" type="parTrans" cxnId="{F145BED7-55BF-44D2-9B88-FD7360F24253}">
      <dgm:prSet/>
      <dgm:spPr/>
      <dgm:t>
        <a:bodyPr/>
        <a:lstStyle/>
        <a:p>
          <a:endParaRPr lang="en-AU"/>
        </a:p>
      </dgm:t>
    </dgm:pt>
    <dgm:pt modelId="{C6A7D47D-C607-4D8D-BF71-12B796D2F61A}" type="sibTrans" cxnId="{F145BED7-55BF-44D2-9B88-FD7360F24253}">
      <dgm:prSet/>
      <dgm:spPr/>
      <dgm:t>
        <a:bodyPr/>
        <a:lstStyle/>
        <a:p>
          <a:endParaRPr lang="en-AU"/>
        </a:p>
      </dgm:t>
    </dgm:pt>
    <dgm:pt modelId="{C6AA7800-7F21-40F3-93C3-A1042C35FACB}">
      <dgm:prSet phldrT="[Text]"/>
      <dgm:spPr/>
      <dgm:t>
        <a:bodyPr/>
        <a:lstStyle/>
        <a:p>
          <a:r>
            <a:rPr lang="en-AU"/>
            <a:t>Continuity: Failover Plan, Recovery Plan</a:t>
          </a:r>
        </a:p>
      </dgm:t>
    </dgm:pt>
    <dgm:pt modelId="{4FEA01BD-3098-4A55-B380-98B47EB7268C}" type="parTrans" cxnId="{571D28D1-2035-46A8-A483-1E4B41757357}">
      <dgm:prSet/>
      <dgm:spPr/>
      <dgm:t>
        <a:bodyPr/>
        <a:lstStyle/>
        <a:p>
          <a:endParaRPr lang="en-AU"/>
        </a:p>
      </dgm:t>
    </dgm:pt>
    <dgm:pt modelId="{9464E1D6-D222-477C-A0CB-B7BBF425CDDA}" type="sibTrans" cxnId="{571D28D1-2035-46A8-A483-1E4B41757357}">
      <dgm:prSet/>
      <dgm:spPr/>
      <dgm:t>
        <a:bodyPr/>
        <a:lstStyle/>
        <a:p>
          <a:endParaRPr lang="en-AU"/>
        </a:p>
      </dgm:t>
    </dgm:pt>
    <dgm:pt modelId="{896BB7E5-F389-4CEF-9D9E-B0AF257F2193}">
      <dgm:prSet phldrT="[Text]"/>
      <dgm:spPr/>
      <dgm:t>
        <a:bodyPr/>
        <a:lstStyle/>
        <a:p>
          <a:r>
            <a:rPr lang="en-AU"/>
            <a:t>Resources: Service Providers, IT Support</a:t>
          </a:r>
        </a:p>
      </dgm:t>
    </dgm:pt>
    <dgm:pt modelId="{AB21FE6D-F09E-4DC6-9259-3FC81277F853}" type="parTrans" cxnId="{9A7BD600-6058-4986-A2E7-903FBC40F183}">
      <dgm:prSet/>
      <dgm:spPr/>
      <dgm:t>
        <a:bodyPr/>
        <a:lstStyle/>
        <a:p>
          <a:endParaRPr lang="en-AU"/>
        </a:p>
      </dgm:t>
    </dgm:pt>
    <dgm:pt modelId="{ABC1D621-1DB9-4E43-925A-0C2F098C37B3}" type="sibTrans" cxnId="{9A7BD600-6058-4986-A2E7-903FBC40F183}">
      <dgm:prSet/>
      <dgm:spPr/>
      <dgm:t>
        <a:bodyPr/>
        <a:lstStyle/>
        <a:p>
          <a:endParaRPr lang="en-AU"/>
        </a:p>
      </dgm:t>
    </dgm:pt>
    <dgm:pt modelId="{837E50BC-9540-4047-AC41-7668751A42A5}">
      <dgm:prSet phldrT="[Text]"/>
      <dgm:spPr/>
      <dgm:t>
        <a:bodyPr/>
        <a:lstStyle/>
        <a:p>
          <a:r>
            <a:rPr lang="en-AU"/>
            <a:t>Continuity: Failover Plan, Recovery Plan</a:t>
          </a:r>
        </a:p>
      </dgm:t>
    </dgm:pt>
    <dgm:pt modelId="{D21F3CA5-732D-489F-9F3B-0F0126587FD1}" type="parTrans" cxnId="{F016F914-B419-49E1-9F7E-09C118220222}">
      <dgm:prSet/>
      <dgm:spPr/>
      <dgm:t>
        <a:bodyPr/>
        <a:lstStyle/>
        <a:p>
          <a:endParaRPr lang="en-AU"/>
        </a:p>
      </dgm:t>
    </dgm:pt>
    <dgm:pt modelId="{EF91975B-7913-49E3-A1AB-EE29146DA890}" type="sibTrans" cxnId="{F016F914-B419-49E1-9F7E-09C118220222}">
      <dgm:prSet/>
      <dgm:spPr/>
      <dgm:t>
        <a:bodyPr/>
        <a:lstStyle/>
        <a:p>
          <a:endParaRPr lang="en-AU"/>
        </a:p>
      </dgm:t>
    </dgm:pt>
    <dgm:pt modelId="{3FE9801C-457A-4B9C-B548-A6D59E2DD0CD}">
      <dgm:prSet phldrT="[Text]"/>
      <dgm:spPr/>
      <dgm:t>
        <a:bodyPr/>
        <a:lstStyle/>
        <a:p>
          <a:r>
            <a:rPr lang="en-AU"/>
            <a:t>Resources: Service Providers, IT Support</a:t>
          </a:r>
        </a:p>
      </dgm:t>
    </dgm:pt>
    <dgm:pt modelId="{E0C95F55-877A-40D1-A7A7-5B2C95B7A44C}" type="parTrans" cxnId="{DFB5888C-25FF-4B4A-8AAA-297B2487DDA3}">
      <dgm:prSet/>
      <dgm:spPr/>
      <dgm:t>
        <a:bodyPr/>
        <a:lstStyle/>
        <a:p>
          <a:endParaRPr lang="en-AU"/>
        </a:p>
      </dgm:t>
    </dgm:pt>
    <dgm:pt modelId="{81A9C125-C969-4579-9911-634DD6299E26}" type="sibTrans" cxnId="{DFB5888C-25FF-4B4A-8AAA-297B2487DDA3}">
      <dgm:prSet/>
      <dgm:spPr/>
      <dgm:t>
        <a:bodyPr/>
        <a:lstStyle/>
        <a:p>
          <a:endParaRPr lang="en-AU"/>
        </a:p>
      </dgm:t>
    </dgm:pt>
    <dgm:pt modelId="{BDA5821F-FD4A-4B30-9CD0-E55D49E43AD1}">
      <dgm:prSet phldrT="[Text]"/>
      <dgm:spPr/>
      <dgm:t>
        <a:bodyPr/>
        <a:lstStyle/>
        <a:p>
          <a:r>
            <a:rPr lang="en-AU"/>
            <a:t>Continuity: Failover Plan, Recovery Plan</a:t>
          </a:r>
        </a:p>
      </dgm:t>
    </dgm:pt>
    <dgm:pt modelId="{BC935781-9CEA-46C6-9B3D-572265DE1D67}" type="parTrans" cxnId="{2D8359D4-D7C3-43C2-A21B-2BA8F923CF65}">
      <dgm:prSet/>
      <dgm:spPr/>
      <dgm:t>
        <a:bodyPr/>
        <a:lstStyle/>
        <a:p>
          <a:endParaRPr lang="en-AU"/>
        </a:p>
      </dgm:t>
    </dgm:pt>
    <dgm:pt modelId="{DDEC0EFC-3371-43EE-BF50-1AEBD2063650}" type="sibTrans" cxnId="{2D8359D4-D7C3-43C2-A21B-2BA8F923CF65}">
      <dgm:prSet/>
      <dgm:spPr/>
      <dgm:t>
        <a:bodyPr/>
        <a:lstStyle/>
        <a:p>
          <a:endParaRPr lang="en-AU"/>
        </a:p>
      </dgm:t>
    </dgm:pt>
    <dgm:pt modelId="{49E9CE18-D4D9-449F-A6F8-E76986260F92}">
      <dgm:prSet phldrT="[Text]"/>
      <dgm:spPr>
        <a:ln>
          <a:solidFill>
            <a:schemeClr val="bg1">
              <a:lumMod val="95000"/>
            </a:schemeClr>
          </a:solidFill>
        </a:ln>
      </dgm:spPr>
      <dgm:t>
        <a:bodyPr/>
        <a:lstStyle/>
        <a:p>
          <a:r>
            <a:rPr lang="en-AU"/>
            <a:t>Data Integrity Issue </a:t>
          </a:r>
          <a:r>
            <a:rPr lang="en-AU" baseline="30000"/>
            <a:t>2</a:t>
          </a:r>
        </a:p>
      </dgm:t>
    </dgm:pt>
    <dgm:pt modelId="{6BDEEF71-D7DC-4A49-A62C-10B6C808005D}" type="parTrans" cxnId="{C9C2ED32-9A3B-4B66-AFCC-C5A1D75A4CB5}">
      <dgm:prSet/>
      <dgm:spPr/>
      <dgm:t>
        <a:bodyPr/>
        <a:lstStyle/>
        <a:p>
          <a:endParaRPr lang="en-AU"/>
        </a:p>
      </dgm:t>
    </dgm:pt>
    <dgm:pt modelId="{2F658815-9A60-4B92-BC05-F9F4E5303279}" type="sibTrans" cxnId="{C9C2ED32-9A3B-4B66-AFCC-C5A1D75A4CB5}">
      <dgm:prSet/>
      <dgm:spPr/>
      <dgm:t>
        <a:bodyPr/>
        <a:lstStyle/>
        <a:p>
          <a:endParaRPr lang="en-AU"/>
        </a:p>
      </dgm:t>
    </dgm:pt>
    <dgm:pt modelId="{053DB687-419C-4651-94FD-41B9C920C1D6}">
      <dgm:prSet phldrT="[Text]"/>
      <dgm:spPr/>
      <dgm:t>
        <a:bodyPr/>
        <a:lstStyle/>
        <a:p>
          <a:r>
            <a:rPr lang="en-AU"/>
            <a:t>Availability: Not applicable</a:t>
          </a:r>
        </a:p>
      </dgm:t>
    </dgm:pt>
    <dgm:pt modelId="{72FE8D77-2AA2-4B62-82E2-A1A252798830}" type="parTrans" cxnId="{C05D01DC-9FC9-49A5-8C3C-E7F48471C0A8}">
      <dgm:prSet/>
      <dgm:spPr/>
      <dgm:t>
        <a:bodyPr/>
        <a:lstStyle/>
        <a:p>
          <a:endParaRPr lang="en-AU"/>
        </a:p>
      </dgm:t>
    </dgm:pt>
    <dgm:pt modelId="{204AAE3E-AA4E-4AEE-9F1A-16DB8C9AA1F1}" type="sibTrans" cxnId="{C05D01DC-9FC9-49A5-8C3C-E7F48471C0A8}">
      <dgm:prSet/>
      <dgm:spPr/>
      <dgm:t>
        <a:bodyPr/>
        <a:lstStyle/>
        <a:p>
          <a:endParaRPr lang="en-AU"/>
        </a:p>
      </dgm:t>
    </dgm:pt>
    <dgm:pt modelId="{5617F961-EC44-4A25-A8F9-BA10CBC4409A}">
      <dgm:prSet phldrT="[Text]"/>
      <dgm:spPr/>
      <dgm:t>
        <a:bodyPr/>
        <a:lstStyle/>
        <a:p>
          <a:r>
            <a:rPr lang="en-AU"/>
            <a:t>Resources: Service Providers, IT Support</a:t>
          </a:r>
        </a:p>
      </dgm:t>
    </dgm:pt>
    <dgm:pt modelId="{66AEDC02-63E4-4946-A50D-F08943A07B15}" type="parTrans" cxnId="{E64F37BC-E9AB-40FC-AD89-728E84E29188}">
      <dgm:prSet/>
      <dgm:spPr/>
      <dgm:t>
        <a:bodyPr/>
        <a:lstStyle/>
        <a:p>
          <a:endParaRPr lang="en-AU"/>
        </a:p>
      </dgm:t>
    </dgm:pt>
    <dgm:pt modelId="{B1AE83F3-6600-4843-AD99-8AC9FDD50ABA}" type="sibTrans" cxnId="{E64F37BC-E9AB-40FC-AD89-728E84E29188}">
      <dgm:prSet/>
      <dgm:spPr/>
      <dgm:t>
        <a:bodyPr/>
        <a:lstStyle/>
        <a:p>
          <a:endParaRPr lang="en-AU"/>
        </a:p>
      </dgm:t>
    </dgm:pt>
    <dgm:pt modelId="{0E0E1BBD-ED8E-4638-879A-24C3DDB722BE}">
      <dgm:prSet phldrT="[Text]"/>
      <dgm:spPr/>
      <dgm:t>
        <a:bodyPr/>
        <a:lstStyle/>
        <a:p>
          <a:r>
            <a:rPr lang="en-AU"/>
            <a:t>Continuity: Recovery Plan</a:t>
          </a:r>
        </a:p>
      </dgm:t>
    </dgm:pt>
    <dgm:pt modelId="{595E477F-8567-4A8A-AE7F-A9B8B030EEE2}" type="parTrans" cxnId="{4A5AB30F-C2CC-44E1-A964-F4384EEDDFB9}">
      <dgm:prSet/>
      <dgm:spPr/>
      <dgm:t>
        <a:bodyPr/>
        <a:lstStyle/>
        <a:p>
          <a:endParaRPr lang="en-AU"/>
        </a:p>
      </dgm:t>
    </dgm:pt>
    <dgm:pt modelId="{3AF07E6F-AB99-4CA6-9A3B-A1CDA1BB008B}" type="sibTrans" cxnId="{4A5AB30F-C2CC-44E1-A964-F4384EEDDFB9}">
      <dgm:prSet/>
      <dgm:spPr/>
      <dgm:t>
        <a:bodyPr/>
        <a:lstStyle/>
        <a:p>
          <a:endParaRPr lang="en-AU"/>
        </a:p>
      </dgm:t>
    </dgm:pt>
    <dgm:pt modelId="{E13D37C1-78B7-474E-8BD4-656677266E53}">
      <dgm:prSet phldrT="[Text]"/>
      <dgm:spPr/>
      <dgm:t>
        <a:bodyPr/>
        <a:lstStyle/>
        <a:p>
          <a:r>
            <a:rPr lang="en-AU"/>
            <a:t>Recoverability: Redeploy, Restore</a:t>
          </a:r>
        </a:p>
      </dgm:t>
    </dgm:pt>
    <dgm:pt modelId="{05C0B34A-F1EC-4785-A0EF-81BB42B93515}" type="parTrans" cxnId="{1CEFFFC5-7980-47D5-8748-B0901520914F}">
      <dgm:prSet/>
      <dgm:spPr/>
      <dgm:t>
        <a:bodyPr/>
        <a:lstStyle/>
        <a:p>
          <a:endParaRPr lang="en-AU"/>
        </a:p>
      </dgm:t>
    </dgm:pt>
    <dgm:pt modelId="{A82CAF2B-D7CD-4BA8-93BF-63A719F43C93}" type="sibTrans" cxnId="{1CEFFFC5-7980-47D5-8748-B0901520914F}">
      <dgm:prSet/>
      <dgm:spPr/>
      <dgm:t>
        <a:bodyPr/>
        <a:lstStyle/>
        <a:p>
          <a:endParaRPr lang="en-AU"/>
        </a:p>
      </dgm:t>
    </dgm:pt>
    <dgm:pt modelId="{6DCF0495-FA61-4B1E-99A3-A6898B9D841B}">
      <dgm:prSet phldrT="[Text]"/>
      <dgm:spPr/>
      <dgm:t>
        <a:bodyPr/>
        <a:lstStyle/>
        <a:p>
          <a:r>
            <a:rPr lang="en-AU"/>
            <a:t>Recoverability (manual): Redeploy, Restore</a:t>
          </a:r>
        </a:p>
      </dgm:t>
    </dgm:pt>
    <dgm:pt modelId="{C6F5034F-D8F1-4EA8-BE12-A0483CF0F149}" type="parTrans" cxnId="{BA823005-D628-4E91-BCAD-CFE21C730452}">
      <dgm:prSet/>
      <dgm:spPr/>
      <dgm:t>
        <a:bodyPr/>
        <a:lstStyle/>
        <a:p>
          <a:endParaRPr lang="en-AU"/>
        </a:p>
      </dgm:t>
    </dgm:pt>
    <dgm:pt modelId="{7BA1AD18-A4DC-438C-BDA7-4B829A38815C}" type="sibTrans" cxnId="{BA823005-D628-4E91-BCAD-CFE21C730452}">
      <dgm:prSet/>
      <dgm:spPr/>
      <dgm:t>
        <a:bodyPr/>
        <a:lstStyle/>
        <a:p>
          <a:endParaRPr lang="en-AU"/>
        </a:p>
      </dgm:t>
    </dgm:pt>
    <dgm:pt modelId="{373FE5C1-41A5-4049-B0E3-7045A51FD44A}">
      <dgm:prSet phldrT="[Text]"/>
      <dgm:spPr/>
      <dgm:t>
        <a:bodyPr/>
        <a:lstStyle/>
        <a:p>
          <a:r>
            <a:rPr lang="en-AU"/>
            <a:t>Resources: IT Support, Vendor</a:t>
          </a:r>
        </a:p>
      </dgm:t>
    </dgm:pt>
    <dgm:pt modelId="{62FCE96F-F1A5-4AE6-A752-E17AEC89B17E}" type="parTrans" cxnId="{F8E5BA44-712C-46D7-B4EA-C20A22477F3E}">
      <dgm:prSet/>
      <dgm:spPr/>
      <dgm:t>
        <a:bodyPr/>
        <a:lstStyle/>
        <a:p>
          <a:endParaRPr lang="en-AU"/>
        </a:p>
      </dgm:t>
    </dgm:pt>
    <dgm:pt modelId="{01FE2907-0D90-49D6-84BC-9DFB2AA3EF37}" type="sibTrans" cxnId="{F8E5BA44-712C-46D7-B4EA-C20A22477F3E}">
      <dgm:prSet/>
      <dgm:spPr/>
      <dgm:t>
        <a:bodyPr/>
        <a:lstStyle/>
        <a:p>
          <a:endParaRPr lang="en-AU"/>
        </a:p>
      </dgm:t>
    </dgm:pt>
    <dgm:pt modelId="{26760E84-3F85-42C0-B0A3-42C5F88B4D2C}">
      <dgm:prSet phldrT="[Text]"/>
      <dgm:spPr/>
      <dgm:t>
        <a:bodyPr/>
        <a:lstStyle/>
        <a:p>
          <a:r>
            <a:rPr lang="en-AU"/>
            <a:t>Recoverability (manual): Restore</a:t>
          </a:r>
        </a:p>
      </dgm:t>
    </dgm:pt>
    <dgm:pt modelId="{A8430D11-2912-4435-B256-0E9142BE5823}" type="parTrans" cxnId="{7737CB37-260F-4FEC-BCE7-83BDC8297042}">
      <dgm:prSet/>
      <dgm:spPr/>
      <dgm:t>
        <a:bodyPr/>
        <a:lstStyle/>
        <a:p>
          <a:endParaRPr lang="en-AU"/>
        </a:p>
      </dgm:t>
    </dgm:pt>
    <dgm:pt modelId="{C88B458F-BBDA-4697-87AA-FAE48811ABA0}" type="sibTrans" cxnId="{7737CB37-260F-4FEC-BCE7-83BDC8297042}">
      <dgm:prSet/>
      <dgm:spPr/>
      <dgm:t>
        <a:bodyPr/>
        <a:lstStyle/>
        <a:p>
          <a:endParaRPr lang="en-AU"/>
        </a:p>
      </dgm:t>
    </dgm:pt>
    <dgm:pt modelId="{1CA658E0-096E-4544-BE17-D9F86562086F}">
      <dgm:prSet phldrT="[Text]"/>
      <dgm:spPr/>
      <dgm:t>
        <a:bodyPr/>
        <a:lstStyle/>
        <a:p>
          <a:r>
            <a:rPr lang="en-AU"/>
            <a:t>Recoverability (manual): Restore</a:t>
          </a:r>
        </a:p>
      </dgm:t>
    </dgm:pt>
    <dgm:pt modelId="{BD827C1B-AAB1-4E97-8B03-CF18CF8541FC}" type="parTrans" cxnId="{14CB2667-93C8-417E-8F46-E9D7FF12671B}">
      <dgm:prSet/>
      <dgm:spPr/>
      <dgm:t>
        <a:bodyPr/>
        <a:lstStyle/>
        <a:p>
          <a:endParaRPr lang="en-AU"/>
        </a:p>
      </dgm:t>
    </dgm:pt>
    <dgm:pt modelId="{92011754-87A1-4EFF-A6F7-BA47CB202C5B}" type="sibTrans" cxnId="{14CB2667-93C8-417E-8F46-E9D7FF12671B}">
      <dgm:prSet/>
      <dgm:spPr/>
      <dgm:t>
        <a:bodyPr/>
        <a:lstStyle/>
        <a:p>
          <a:endParaRPr lang="en-AU"/>
        </a:p>
      </dgm:t>
    </dgm:pt>
    <dgm:pt modelId="{44743AE4-81A8-4D88-8203-0CFAC152D00C}">
      <dgm:prSet phldrT="[Text]"/>
      <dgm:spPr/>
      <dgm:t>
        <a:bodyPr/>
        <a:lstStyle/>
        <a:p>
          <a:r>
            <a:rPr lang="en-AU"/>
            <a:t>Recoverability (manual): Restore</a:t>
          </a:r>
        </a:p>
      </dgm:t>
    </dgm:pt>
    <dgm:pt modelId="{E7A2C2B3-5169-4525-98CA-8DC5204FF8D6}" type="parTrans" cxnId="{F34F1722-8435-41EC-9C08-16C744480866}">
      <dgm:prSet/>
      <dgm:spPr/>
      <dgm:t>
        <a:bodyPr/>
        <a:lstStyle/>
        <a:p>
          <a:endParaRPr lang="en-AU"/>
        </a:p>
      </dgm:t>
    </dgm:pt>
    <dgm:pt modelId="{C62E7193-C5AC-4097-842F-85A729D95EA9}" type="sibTrans" cxnId="{F34F1722-8435-41EC-9C08-16C744480866}">
      <dgm:prSet/>
      <dgm:spPr/>
      <dgm:t>
        <a:bodyPr/>
        <a:lstStyle/>
        <a:p>
          <a:endParaRPr lang="en-AU"/>
        </a:p>
      </dgm:t>
    </dgm:pt>
    <dgm:pt modelId="{08EBBCCC-6B90-4A48-A42C-9649F4FF6845}">
      <dgm:prSet phldrT="[Text]"/>
      <dgm:spPr/>
      <dgm:t>
        <a:bodyPr/>
        <a:lstStyle/>
        <a:p>
          <a:r>
            <a:rPr lang="en-AU"/>
            <a:t>Recoverability (manual): Restore</a:t>
          </a:r>
        </a:p>
      </dgm:t>
    </dgm:pt>
    <dgm:pt modelId="{0DD14BBE-3DC3-4214-B451-FD718A0B2B5A}" type="parTrans" cxnId="{5DBDABD4-C869-4851-BBBB-73F3CEDDA188}">
      <dgm:prSet/>
      <dgm:spPr/>
      <dgm:t>
        <a:bodyPr/>
        <a:lstStyle/>
        <a:p>
          <a:endParaRPr lang="en-AU"/>
        </a:p>
      </dgm:t>
    </dgm:pt>
    <dgm:pt modelId="{DEAE8874-A1EC-4DEC-83A1-736B869230BA}" type="sibTrans" cxnId="{5DBDABD4-C869-4851-BBBB-73F3CEDDA188}">
      <dgm:prSet/>
      <dgm:spPr/>
      <dgm:t>
        <a:bodyPr/>
        <a:lstStyle/>
        <a:p>
          <a:endParaRPr lang="en-AU"/>
        </a:p>
      </dgm:t>
    </dgm:pt>
    <dgm:pt modelId="{065446B2-20E1-4C54-9F95-4A63CEC14C93}" type="pres">
      <dgm:prSet presAssocID="{65D7F520-64D5-4B23-AD1C-0C547276D12D}" presName="Name0" presStyleCnt="0">
        <dgm:presLayoutVars>
          <dgm:chMax val="7"/>
          <dgm:dir/>
          <dgm:animLvl val="lvl"/>
          <dgm:resizeHandles val="exact"/>
        </dgm:presLayoutVars>
      </dgm:prSet>
      <dgm:spPr/>
    </dgm:pt>
    <dgm:pt modelId="{28358CB6-AFF6-4A5C-92FB-F4E9CAF39A44}" type="pres">
      <dgm:prSet presAssocID="{19EAE42D-9877-44D2-80B5-440E6575135C}" presName="circle1" presStyleLbl="node1" presStyleIdx="0" presStyleCnt="6"/>
      <dgm:spPr>
        <a:xfrm>
          <a:off x="0" y="0"/>
          <a:ext cx="4150995" cy="4150995"/>
        </a:xfrm>
        <a:prstGeom prst="pie">
          <a:avLst>
            <a:gd name="adj1" fmla="val 5400000"/>
            <a:gd name="adj2" fmla="val 16200000"/>
          </a:avLst>
        </a:prstGeom>
        <a:gradFill rotWithShape="0">
          <a:gsLst>
            <a:gs pos="0">
              <a:srgbClr val="F25022"/>
            </a:gs>
            <a:gs pos="80000">
              <a:srgbClr val="FFB900"/>
            </a:gs>
            <a:gs pos="94000">
              <a:schemeClr val="bg1"/>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gm:spPr>
    </dgm:pt>
    <dgm:pt modelId="{D735ECD4-22A5-49A1-B80A-C520A917E27F}" type="pres">
      <dgm:prSet presAssocID="{19EAE42D-9877-44D2-80B5-440E6575135C}" presName="space" presStyleCnt="0"/>
      <dgm:spPr/>
    </dgm:pt>
    <dgm:pt modelId="{9E04B39F-2D8C-44C6-9887-A3E64574A0F6}" type="pres">
      <dgm:prSet presAssocID="{19EAE42D-9877-44D2-80B5-440E6575135C}" presName="rect1" presStyleLbl="alignAcc1" presStyleIdx="0" presStyleCnt="6" custLinFactNeighborX="79" custLinFactNeighborY="-4899"/>
      <dgm:spPr/>
    </dgm:pt>
    <dgm:pt modelId="{1D0CFA84-227B-42C0-8F79-7489DB62E3EB}" type="pres">
      <dgm:prSet presAssocID="{F9AF7DD1-1A81-4E58-A55C-28C116029551}" presName="vertSpace2" presStyleLbl="node1" presStyleIdx="0" presStyleCnt="6"/>
      <dgm:spPr/>
    </dgm:pt>
    <dgm:pt modelId="{A5EB401D-D85B-4860-BD6E-93EDFC523510}" type="pres">
      <dgm:prSet presAssocID="{F9AF7DD1-1A81-4E58-A55C-28C116029551}" presName="circle2" presStyleLbl="node1" presStyleIdx="1" presStyleCnt="6"/>
      <dgm:spPr>
        <a:xfrm>
          <a:off x="363212" y="518875"/>
          <a:ext cx="3424569" cy="3424569"/>
        </a:xfrm>
        <a:prstGeom prst="pie">
          <a:avLst>
            <a:gd name="adj1" fmla="val 5400000"/>
            <a:gd name="adj2" fmla="val 16200000"/>
          </a:avLst>
        </a:prstGeom>
        <a:gradFill rotWithShape="0">
          <a:gsLst>
            <a:gs pos="0">
              <a:srgbClr val="F25022"/>
            </a:gs>
            <a:gs pos="60000">
              <a:srgbClr val="FFB900"/>
            </a:gs>
            <a:gs pos="94000">
              <a:sysClr val="window" lastClr="FFFFFF"/>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gm:spPr>
    </dgm:pt>
    <dgm:pt modelId="{3D0D1CC1-83A9-4EF8-A4BE-15C2694FA637}" type="pres">
      <dgm:prSet presAssocID="{F9AF7DD1-1A81-4E58-A55C-28C116029551}" presName="rect2" presStyleLbl="alignAcc1" presStyleIdx="1" presStyleCnt="6"/>
      <dgm:spPr/>
    </dgm:pt>
    <dgm:pt modelId="{30BA49FF-543F-4038-9FCB-6586ECED7200}" type="pres">
      <dgm:prSet presAssocID="{35050C18-43C0-4A0C-AA2F-6D7DC68EC4C9}" presName="vertSpace3" presStyleLbl="node1" presStyleIdx="1" presStyleCnt="6"/>
      <dgm:spPr/>
    </dgm:pt>
    <dgm:pt modelId="{2B06710F-6B26-4AA9-A9F6-CE6C07F6889F}" type="pres">
      <dgm:prSet presAssocID="{35050C18-43C0-4A0C-AA2F-6D7DC68EC4C9}" presName="circle3" presStyleLbl="node1" presStyleIdx="2" presStyleCnt="6"/>
      <dgm:spPr>
        <a:xfrm>
          <a:off x="726425" y="1037751"/>
          <a:ext cx="2698144" cy="2698144"/>
        </a:xfrm>
        <a:prstGeom prst="pie">
          <a:avLst>
            <a:gd name="adj1" fmla="val 5400000"/>
            <a:gd name="adj2" fmla="val 16200000"/>
          </a:avLst>
        </a:prstGeom>
        <a:gradFill rotWithShape="0">
          <a:gsLst>
            <a:gs pos="0">
              <a:srgbClr val="F25022"/>
            </a:gs>
            <a:gs pos="40000">
              <a:srgbClr val="FFB900"/>
            </a:gs>
            <a:gs pos="94000">
              <a:sysClr val="window" lastClr="FFFFFF"/>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gm:spPr>
    </dgm:pt>
    <dgm:pt modelId="{B0584776-AEF5-4898-BD24-0D096271A19B}" type="pres">
      <dgm:prSet presAssocID="{35050C18-43C0-4A0C-AA2F-6D7DC68EC4C9}" presName="rect3" presStyleLbl="alignAcc1" presStyleIdx="2" presStyleCnt="6"/>
      <dgm:spPr/>
    </dgm:pt>
    <dgm:pt modelId="{C06FF20F-B960-4F96-90EF-B6A960E473D8}" type="pres">
      <dgm:prSet presAssocID="{3CDDBF29-DC40-4785-8E55-88681EE6810C}" presName="vertSpace4" presStyleLbl="node1" presStyleIdx="2" presStyleCnt="6"/>
      <dgm:spPr/>
    </dgm:pt>
    <dgm:pt modelId="{FD00EA66-7CF4-48FF-BE12-A353301B4083}" type="pres">
      <dgm:prSet presAssocID="{3CDDBF29-DC40-4785-8E55-88681EE6810C}" presName="circle4" presStyleLbl="node1" presStyleIdx="3" presStyleCnt="6"/>
      <dgm:spPr>
        <a:xfrm>
          <a:off x="1089636" y="1556623"/>
          <a:ext cx="1971722" cy="1971722"/>
        </a:xfrm>
        <a:prstGeom prst="pie">
          <a:avLst>
            <a:gd name="adj1" fmla="val 5400000"/>
            <a:gd name="adj2" fmla="val 16200000"/>
          </a:avLst>
        </a:prstGeom>
        <a:gradFill rotWithShape="0">
          <a:gsLst>
            <a:gs pos="0">
              <a:srgbClr val="F25022"/>
            </a:gs>
            <a:gs pos="20000">
              <a:srgbClr val="FFB900"/>
            </a:gs>
            <a:gs pos="94000">
              <a:sysClr val="window" lastClr="FFFFFF"/>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gm:spPr>
    </dgm:pt>
    <dgm:pt modelId="{387D250D-7F11-4A49-9597-EE329407BAEB}" type="pres">
      <dgm:prSet presAssocID="{3CDDBF29-DC40-4785-8E55-88681EE6810C}" presName="rect4" presStyleLbl="alignAcc1" presStyleIdx="3" presStyleCnt="6" custLinFactNeighborX="4118" custLinFactNeighborY="-1031"/>
      <dgm:spPr/>
    </dgm:pt>
    <dgm:pt modelId="{68E9E041-744D-4F3D-92D8-29F24BC04367}" type="pres">
      <dgm:prSet presAssocID="{99EBF327-D30D-4541-93F0-4D8C92111EFE}" presName="vertSpace5" presStyleLbl="node1" presStyleIdx="3" presStyleCnt="6"/>
      <dgm:spPr/>
    </dgm:pt>
    <dgm:pt modelId="{CC2B52F7-A182-4ACE-B7F4-BD1493E3F065}" type="pres">
      <dgm:prSet presAssocID="{99EBF327-D30D-4541-93F0-4D8C92111EFE}" presName="circle5" presStyleLbl="node1" presStyleIdx="4" presStyleCnt="6"/>
      <dgm:spPr>
        <a:xfrm>
          <a:off x="1452848" y="2075498"/>
          <a:ext cx="1245297" cy="1245297"/>
        </a:xfrm>
        <a:prstGeom prst="pie">
          <a:avLst>
            <a:gd name="adj1" fmla="val 5400000"/>
            <a:gd name="adj2" fmla="val 16200000"/>
          </a:avLst>
        </a:prstGeom>
        <a:gradFill rotWithShape="0">
          <a:gsLst>
            <a:gs pos="0">
              <a:srgbClr val="F25022"/>
            </a:gs>
            <a:gs pos="10000">
              <a:srgbClr val="FFB900"/>
            </a:gs>
            <a:gs pos="94000">
              <a:sysClr val="window" lastClr="FFFFFF"/>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gm:spPr>
    </dgm:pt>
    <dgm:pt modelId="{D1D234B6-D659-408E-A3D7-47D5A3C989AE}" type="pres">
      <dgm:prSet presAssocID="{99EBF327-D30D-4541-93F0-4D8C92111EFE}" presName="rect5" presStyleLbl="alignAcc1" presStyleIdx="4" presStyleCnt="6"/>
      <dgm:spPr/>
    </dgm:pt>
    <dgm:pt modelId="{856BE4E1-492A-4193-BD53-C88D97B1C008}" type="pres">
      <dgm:prSet presAssocID="{49E9CE18-D4D9-449F-A6F8-E76986260F92}" presName="vertSpace6" presStyleLbl="node1" presStyleIdx="4" presStyleCnt="6"/>
      <dgm:spPr/>
    </dgm:pt>
    <dgm:pt modelId="{83EF4FD9-96EB-43EB-9EFA-5F86428E3303}" type="pres">
      <dgm:prSet presAssocID="{49E9CE18-D4D9-449F-A6F8-E76986260F92}" presName="circle6" presStyleLbl="node1" presStyleIdx="5" presStyleCnt="6"/>
      <dgm:spPr/>
    </dgm:pt>
    <dgm:pt modelId="{0826D31C-7E95-4C3C-82E7-906612B7B680}" type="pres">
      <dgm:prSet presAssocID="{49E9CE18-D4D9-449F-A6F8-E76986260F92}" presName="rect6" presStyleLbl="alignAcc1" presStyleIdx="5" presStyleCnt="6"/>
      <dgm:spPr/>
    </dgm:pt>
    <dgm:pt modelId="{B3883268-9502-4034-86E2-E002153148E0}" type="pres">
      <dgm:prSet presAssocID="{19EAE42D-9877-44D2-80B5-440E6575135C}" presName="rect1ParTx" presStyleLbl="alignAcc1" presStyleIdx="5" presStyleCnt="6">
        <dgm:presLayoutVars>
          <dgm:chMax val="1"/>
          <dgm:bulletEnabled val="1"/>
        </dgm:presLayoutVars>
      </dgm:prSet>
      <dgm:spPr/>
    </dgm:pt>
    <dgm:pt modelId="{BB46FD88-F687-4C6C-9AA8-453CF3E89530}" type="pres">
      <dgm:prSet presAssocID="{19EAE42D-9877-44D2-80B5-440E6575135C}" presName="rect1ChTx" presStyleLbl="alignAcc1" presStyleIdx="5" presStyleCnt="6">
        <dgm:presLayoutVars>
          <dgm:bulletEnabled val="1"/>
        </dgm:presLayoutVars>
      </dgm:prSet>
      <dgm:spPr/>
    </dgm:pt>
    <dgm:pt modelId="{5B2E95A6-FEF7-40EA-8D65-F411C9EACAAD}" type="pres">
      <dgm:prSet presAssocID="{F9AF7DD1-1A81-4E58-A55C-28C116029551}" presName="rect2ParTx" presStyleLbl="alignAcc1" presStyleIdx="5" presStyleCnt="6">
        <dgm:presLayoutVars>
          <dgm:chMax val="1"/>
          <dgm:bulletEnabled val="1"/>
        </dgm:presLayoutVars>
      </dgm:prSet>
      <dgm:spPr/>
    </dgm:pt>
    <dgm:pt modelId="{24E50752-3CCB-431B-8B70-70626438200B}" type="pres">
      <dgm:prSet presAssocID="{F9AF7DD1-1A81-4E58-A55C-28C116029551}" presName="rect2ChTx" presStyleLbl="alignAcc1" presStyleIdx="5" presStyleCnt="6">
        <dgm:presLayoutVars>
          <dgm:bulletEnabled val="1"/>
        </dgm:presLayoutVars>
      </dgm:prSet>
      <dgm:spPr/>
    </dgm:pt>
    <dgm:pt modelId="{60A5A554-F412-44EB-A07D-8F087D080996}" type="pres">
      <dgm:prSet presAssocID="{35050C18-43C0-4A0C-AA2F-6D7DC68EC4C9}" presName="rect3ParTx" presStyleLbl="alignAcc1" presStyleIdx="5" presStyleCnt="6">
        <dgm:presLayoutVars>
          <dgm:chMax val="1"/>
          <dgm:bulletEnabled val="1"/>
        </dgm:presLayoutVars>
      </dgm:prSet>
      <dgm:spPr/>
    </dgm:pt>
    <dgm:pt modelId="{536CAB4B-913D-4D26-9EBF-0129EEA0CA72}" type="pres">
      <dgm:prSet presAssocID="{35050C18-43C0-4A0C-AA2F-6D7DC68EC4C9}" presName="rect3ChTx" presStyleLbl="alignAcc1" presStyleIdx="5" presStyleCnt="6">
        <dgm:presLayoutVars>
          <dgm:bulletEnabled val="1"/>
        </dgm:presLayoutVars>
      </dgm:prSet>
      <dgm:spPr/>
    </dgm:pt>
    <dgm:pt modelId="{306BD696-9263-4675-A79E-66256EA12C30}" type="pres">
      <dgm:prSet presAssocID="{3CDDBF29-DC40-4785-8E55-88681EE6810C}" presName="rect4ParTx" presStyleLbl="alignAcc1" presStyleIdx="5" presStyleCnt="6">
        <dgm:presLayoutVars>
          <dgm:chMax val="1"/>
          <dgm:bulletEnabled val="1"/>
        </dgm:presLayoutVars>
      </dgm:prSet>
      <dgm:spPr/>
    </dgm:pt>
    <dgm:pt modelId="{272C6588-8A6F-4937-A317-A6AEEE131ABC}" type="pres">
      <dgm:prSet presAssocID="{3CDDBF29-DC40-4785-8E55-88681EE6810C}" presName="rect4ChTx" presStyleLbl="alignAcc1" presStyleIdx="5" presStyleCnt="6">
        <dgm:presLayoutVars>
          <dgm:bulletEnabled val="1"/>
        </dgm:presLayoutVars>
      </dgm:prSet>
      <dgm:spPr/>
    </dgm:pt>
    <dgm:pt modelId="{941DF15E-7418-4C2A-A13F-00868F91D2DC}" type="pres">
      <dgm:prSet presAssocID="{99EBF327-D30D-4541-93F0-4D8C92111EFE}" presName="rect5ParTx" presStyleLbl="alignAcc1" presStyleIdx="5" presStyleCnt="6">
        <dgm:presLayoutVars>
          <dgm:chMax val="1"/>
          <dgm:bulletEnabled val="1"/>
        </dgm:presLayoutVars>
      </dgm:prSet>
      <dgm:spPr/>
    </dgm:pt>
    <dgm:pt modelId="{E075561F-19A6-45AF-AB71-9F963E3AEFC5}" type="pres">
      <dgm:prSet presAssocID="{99EBF327-D30D-4541-93F0-4D8C92111EFE}" presName="rect5ChTx" presStyleLbl="alignAcc1" presStyleIdx="5" presStyleCnt="6">
        <dgm:presLayoutVars>
          <dgm:bulletEnabled val="1"/>
        </dgm:presLayoutVars>
      </dgm:prSet>
      <dgm:spPr/>
    </dgm:pt>
    <dgm:pt modelId="{4ADE1692-3F46-4277-904F-2D64C1A45A11}" type="pres">
      <dgm:prSet presAssocID="{49E9CE18-D4D9-449F-A6F8-E76986260F92}" presName="rect6ParTx" presStyleLbl="alignAcc1" presStyleIdx="5" presStyleCnt="6">
        <dgm:presLayoutVars>
          <dgm:chMax val="1"/>
          <dgm:bulletEnabled val="1"/>
        </dgm:presLayoutVars>
      </dgm:prSet>
      <dgm:spPr/>
    </dgm:pt>
    <dgm:pt modelId="{D7B65A8A-B746-481B-A870-C8285FE300CD}" type="pres">
      <dgm:prSet presAssocID="{49E9CE18-D4D9-449F-A6F8-E76986260F92}" presName="rect6ChTx" presStyleLbl="alignAcc1" presStyleIdx="5" presStyleCnt="6">
        <dgm:presLayoutVars>
          <dgm:bulletEnabled val="1"/>
        </dgm:presLayoutVars>
      </dgm:prSet>
      <dgm:spPr/>
    </dgm:pt>
  </dgm:ptLst>
  <dgm:cxnLst>
    <dgm:cxn modelId="{9A7BD600-6058-4986-A2E7-903FBC40F183}" srcId="{3CDDBF29-DC40-4785-8E55-88681EE6810C}" destId="{896BB7E5-F389-4CEF-9D9E-B0AF257F2193}" srcOrd="2" destOrd="0" parTransId="{AB21FE6D-F09E-4DC6-9259-3FC81277F853}" sibTransId="{ABC1D621-1DB9-4E43-925A-0C2F098C37B3}"/>
    <dgm:cxn modelId="{02D2CD04-7644-456C-A90D-F9EB5A3FD795}" type="presOf" srcId="{08EBBCCC-6B90-4A48-A42C-9649F4FF6845}" destId="{D7B65A8A-B746-481B-A870-C8285FE300CD}" srcOrd="0" destOrd="1" presId="urn:microsoft.com/office/officeart/2005/8/layout/target3"/>
    <dgm:cxn modelId="{BA823005-D628-4E91-BCAD-CFE21C730452}" srcId="{F9AF7DD1-1A81-4E58-A55C-28C116029551}" destId="{6DCF0495-FA61-4B1E-99A3-A6898B9D841B}" srcOrd="1" destOrd="0" parTransId="{C6F5034F-D8F1-4EA8-BE12-A0483CF0F149}" sibTransId="{7BA1AD18-A4DC-438C-BDA7-4B829A38815C}"/>
    <dgm:cxn modelId="{4A5AB30F-C2CC-44E1-A964-F4384EEDDFB9}" srcId="{49E9CE18-D4D9-449F-A6F8-E76986260F92}" destId="{0E0E1BBD-ED8E-4638-879A-24C3DDB722BE}" srcOrd="3" destOrd="0" parTransId="{595E477F-8567-4A8A-AE7F-A9B8B030EEE2}" sibTransId="{3AF07E6F-AB99-4CA6-9A3B-A1CDA1BB008B}"/>
    <dgm:cxn modelId="{0F9D6A13-A852-4796-8859-A058B1937CD9}" type="presOf" srcId="{BDA5821F-FD4A-4B30-9CD0-E55D49E43AD1}" destId="{E075561F-19A6-45AF-AB71-9F963E3AEFC5}" srcOrd="0" destOrd="3" presId="urn:microsoft.com/office/officeart/2005/8/layout/target3"/>
    <dgm:cxn modelId="{F016F914-B419-49E1-9F7E-09C118220222}" srcId="{3CDDBF29-DC40-4785-8E55-88681EE6810C}" destId="{837E50BC-9540-4047-AC41-7668751A42A5}" srcOrd="3" destOrd="0" parTransId="{D21F3CA5-732D-489F-9F3B-0F0126587FD1}" sibTransId="{EF91975B-7913-49E3-A1AB-EE29146DA890}"/>
    <dgm:cxn modelId="{9BEEB218-1686-4C39-B296-B12E67939F2C}" type="presOf" srcId="{12CEEEE2-D966-4F23-9212-25B813CA634D}" destId="{272C6588-8A6F-4937-A317-A6AEEE131ABC}" srcOrd="0" destOrd="0" presId="urn:microsoft.com/office/officeart/2005/8/layout/target3"/>
    <dgm:cxn modelId="{27E8E61D-BEFA-4CA6-8976-2FB4CD60F830}" srcId="{F9AF7DD1-1A81-4E58-A55C-28C116029551}" destId="{81D20BC8-E1B7-4A12-8F91-C4CC2CBAE2C8}" srcOrd="2" destOrd="0" parTransId="{422E0811-A894-4278-A00D-E1BAD60E8E97}" sibTransId="{8B36A5B6-805A-4D67-8090-46C33F1F7B33}"/>
    <dgm:cxn modelId="{711C0422-329A-4C45-9CFC-344BF952CB0C}" type="presOf" srcId="{F9AF7DD1-1A81-4E58-A55C-28C116029551}" destId="{3D0D1CC1-83A9-4EF8-A4BE-15C2694FA637}" srcOrd="0" destOrd="0" presId="urn:microsoft.com/office/officeart/2005/8/layout/target3"/>
    <dgm:cxn modelId="{F34F1722-8435-41EC-9C08-16C744480866}" srcId="{99EBF327-D30D-4541-93F0-4D8C92111EFE}" destId="{44743AE4-81A8-4D88-8203-0CFAC152D00C}" srcOrd="1" destOrd="0" parTransId="{E7A2C2B3-5169-4525-98CA-8DC5204FF8D6}" sibTransId="{C62E7193-C5AC-4097-842F-85A729D95EA9}"/>
    <dgm:cxn modelId="{05089122-C9F8-42C9-8CCF-EB2516A1E14A}" type="presOf" srcId="{35050C18-43C0-4A0C-AA2F-6D7DC68EC4C9}" destId="{60A5A554-F412-44EB-A07D-8F087D080996}" srcOrd="1" destOrd="0" presId="urn:microsoft.com/office/officeart/2005/8/layout/target3"/>
    <dgm:cxn modelId="{DA78A123-7817-43D5-9D1D-E2CEF7875248}" type="presOf" srcId="{3FE9801C-457A-4B9C-B548-A6D59E2DD0CD}" destId="{E075561F-19A6-45AF-AB71-9F963E3AEFC5}" srcOrd="0" destOrd="2" presId="urn:microsoft.com/office/officeart/2005/8/layout/target3"/>
    <dgm:cxn modelId="{439EEA2A-422E-44E4-82AE-8B1BBA74DBFE}" type="presOf" srcId="{0E0E1BBD-ED8E-4638-879A-24C3DDB722BE}" destId="{D7B65A8A-B746-481B-A870-C8285FE300CD}" srcOrd="0" destOrd="3" presId="urn:microsoft.com/office/officeart/2005/8/layout/target3"/>
    <dgm:cxn modelId="{C9C2ED32-9A3B-4B66-AFCC-C5A1D75A4CB5}" srcId="{65D7F520-64D5-4B23-AD1C-0C547276D12D}" destId="{49E9CE18-D4D9-449F-A6F8-E76986260F92}" srcOrd="5" destOrd="0" parTransId="{6BDEEF71-D7DC-4A49-A62C-10B6C808005D}" sibTransId="{2F658815-9A60-4B92-BC05-F9F4E5303279}"/>
    <dgm:cxn modelId="{525EA234-C29B-434E-A56A-4921AC0A35BD}" srcId="{65D7F520-64D5-4B23-AD1C-0C547276D12D}" destId="{19EAE42D-9877-44D2-80B5-440E6575135C}" srcOrd="0" destOrd="0" parTransId="{D6EAE147-3B6B-4AC3-8142-1FED5F1B7D42}" sibTransId="{6C9C1B58-A407-41F0-AF5F-CB8B8666AC67}"/>
    <dgm:cxn modelId="{7737CB37-260F-4FEC-BCE7-83BDC8297042}" srcId="{35050C18-43C0-4A0C-AA2F-6D7DC68EC4C9}" destId="{26760E84-3F85-42C0-B0A3-42C5F88B4D2C}" srcOrd="1" destOrd="0" parTransId="{A8430D11-2912-4435-B256-0E9142BE5823}" sibTransId="{C88B458F-BBDA-4697-87AA-FAE48811ABA0}"/>
    <dgm:cxn modelId="{46367238-9AF1-4878-9CF8-B1BF7F98E5E0}" type="presOf" srcId="{35050C18-43C0-4A0C-AA2F-6D7DC68EC4C9}" destId="{B0584776-AEF5-4898-BD24-0D096271A19B}" srcOrd="0" destOrd="0" presId="urn:microsoft.com/office/officeart/2005/8/layout/target3"/>
    <dgm:cxn modelId="{BFEEC538-72B0-4238-8653-B09EAA849CEA}" type="presOf" srcId="{3CDDBF29-DC40-4785-8E55-88681EE6810C}" destId="{306BD696-9263-4675-A79E-66256EA12C30}" srcOrd="1" destOrd="0" presId="urn:microsoft.com/office/officeart/2005/8/layout/target3"/>
    <dgm:cxn modelId="{BF06423A-AC6D-4092-B679-14DE13D913D6}" type="presOf" srcId="{1D2DA9C4-1BD0-493D-81EE-C5C715AAC131}" destId="{BB46FD88-F687-4C6C-9AA8-453CF3E89530}" srcOrd="0" destOrd="2" presId="urn:microsoft.com/office/officeart/2005/8/layout/target3"/>
    <dgm:cxn modelId="{E038BE3A-6A6C-4D36-98C2-28CDCC8C5A99}" type="presOf" srcId="{65D7F520-64D5-4B23-AD1C-0C547276D12D}" destId="{065446B2-20E1-4C54-9F95-4A63CEC14C93}" srcOrd="0" destOrd="0" presId="urn:microsoft.com/office/officeart/2005/8/layout/target3"/>
    <dgm:cxn modelId="{C785445C-C58F-48D5-A34D-F8EF2EA36BE7}" srcId="{19EAE42D-9877-44D2-80B5-440E6575135C}" destId="{5810C717-AA99-432F-994B-456C1AB89D6C}" srcOrd="3" destOrd="0" parTransId="{67F8D3E2-0F40-4613-A258-B13BDBD6AD1C}" sibTransId="{C5DE1F2D-A6C3-41BB-9115-4E7D7AACDFF5}"/>
    <dgm:cxn modelId="{AFED5A41-05A5-4CF1-9D6B-AA8BDDF1950B}" type="presOf" srcId="{C6AA7800-7F21-40F3-93C3-A1042C35FACB}" destId="{536CAB4B-913D-4D26-9EBF-0129EEA0CA72}" srcOrd="0" destOrd="3" presId="urn:microsoft.com/office/officeart/2005/8/layout/target3"/>
    <dgm:cxn modelId="{F8E5BA44-712C-46D7-B4EA-C20A22477F3E}" srcId="{35050C18-43C0-4A0C-AA2F-6D7DC68EC4C9}" destId="{373FE5C1-41A5-4049-B0E3-7045A51FD44A}" srcOrd="2" destOrd="0" parTransId="{62FCE96F-F1A5-4AE6-A752-E17AEC89B17E}" sibTransId="{01FE2907-0D90-49D6-84BC-9DFB2AA3EF37}"/>
    <dgm:cxn modelId="{368E1467-B7F4-474F-908E-7280E947309D}" srcId="{F9AF7DD1-1A81-4E58-A55C-28C116029551}" destId="{A0274517-B88B-4F83-98F1-D2CEBE7A7512}" srcOrd="0" destOrd="0" parTransId="{8ECF3DCD-D84D-4954-B88A-5058F4D744C5}" sibTransId="{FC366214-5378-4D6F-9EB5-1B64150449DB}"/>
    <dgm:cxn modelId="{14CB2667-93C8-417E-8F46-E9D7FF12671B}" srcId="{3CDDBF29-DC40-4785-8E55-88681EE6810C}" destId="{1CA658E0-096E-4544-BE17-D9F86562086F}" srcOrd="1" destOrd="0" parTransId="{BD827C1B-AAB1-4E97-8B03-CF18CF8541FC}" sibTransId="{92011754-87A1-4EFF-A6F7-BA47CB202C5B}"/>
    <dgm:cxn modelId="{FC3E6C48-78D1-4875-B1BA-024172397B25}" srcId="{19EAE42D-9877-44D2-80B5-440E6575135C}" destId="{C90499C5-B062-4827-94A2-0DB11D81FED9}" srcOrd="0" destOrd="0" parTransId="{FAF7BC31-50D7-4A37-BC9B-4692B0A9EA3E}" sibTransId="{DF68A929-1413-44AE-8B39-4FACF47BD7BE}"/>
    <dgm:cxn modelId="{9F836B69-E6EF-4846-97DE-8E7AAE64A331}" type="presOf" srcId="{837E50BC-9540-4047-AC41-7668751A42A5}" destId="{272C6588-8A6F-4937-A317-A6AEEE131ABC}" srcOrd="0" destOrd="3" presId="urn:microsoft.com/office/officeart/2005/8/layout/target3"/>
    <dgm:cxn modelId="{F9E70B4C-89EB-4562-A011-5C0181C04A0B}" type="presOf" srcId="{6DCF0495-FA61-4B1E-99A3-A6898B9D841B}" destId="{24E50752-3CCB-431B-8B70-70626438200B}" srcOrd="0" destOrd="1" presId="urn:microsoft.com/office/officeart/2005/8/layout/target3"/>
    <dgm:cxn modelId="{6DF7126C-A02C-484C-9400-E9F7510FA3D6}" srcId="{65D7F520-64D5-4B23-AD1C-0C547276D12D}" destId="{F9AF7DD1-1A81-4E58-A55C-28C116029551}" srcOrd="1" destOrd="0" parTransId="{707B0101-033C-47FA-9793-6252C03E2679}" sibTransId="{A1418302-4B98-4F28-B812-15E059B3D10B}"/>
    <dgm:cxn modelId="{ABB2F86D-4D43-457F-B15B-8B358794E16D}" srcId="{19EAE42D-9877-44D2-80B5-440E6575135C}" destId="{1D2DA9C4-1BD0-493D-81EE-C5C715AAC131}" srcOrd="2" destOrd="0" parTransId="{23A52A61-B1C7-478F-95DA-3DBBC873F942}" sibTransId="{22111765-F7BD-4F49-A38B-0CF9D346CAED}"/>
    <dgm:cxn modelId="{487D1B6F-30B4-4CC0-8C28-40AE956A2B20}" type="presOf" srcId="{896BB7E5-F389-4CEF-9D9E-B0AF257F2193}" destId="{272C6588-8A6F-4937-A317-A6AEEE131ABC}" srcOrd="0" destOrd="2" presId="urn:microsoft.com/office/officeart/2005/8/layout/target3"/>
    <dgm:cxn modelId="{C2E9546F-19F5-429B-9141-1F6A22DC9FDA}" type="presOf" srcId="{AA11F0D9-1E23-4BD4-9CAB-E5603F5E13B3}" destId="{E075561F-19A6-45AF-AB71-9F963E3AEFC5}" srcOrd="0" destOrd="0" presId="urn:microsoft.com/office/officeart/2005/8/layout/target3"/>
    <dgm:cxn modelId="{6331AB7C-A84E-4542-8E43-E62EC4A7E1E3}" type="presOf" srcId="{19EAE42D-9877-44D2-80B5-440E6575135C}" destId="{B3883268-9502-4034-86E2-E002153148E0}" srcOrd="1" destOrd="0" presId="urn:microsoft.com/office/officeart/2005/8/layout/target3"/>
    <dgm:cxn modelId="{1E57FC80-B4B1-4293-83B5-9331DA4C81CE}" srcId="{65D7F520-64D5-4B23-AD1C-0C547276D12D}" destId="{35050C18-43C0-4A0C-AA2F-6D7DC68EC4C9}" srcOrd="2" destOrd="0" parTransId="{82D9FF07-0BAB-414B-8AD8-9861C1FCC686}" sibTransId="{465E1057-8D6F-4A39-83AE-4BDF10761E95}"/>
    <dgm:cxn modelId="{A857A082-B298-47D2-8CD9-168BEE5FA0C2}" type="presOf" srcId="{A0274517-B88B-4F83-98F1-D2CEBE7A7512}" destId="{24E50752-3CCB-431B-8B70-70626438200B}" srcOrd="0" destOrd="0" presId="urn:microsoft.com/office/officeart/2005/8/layout/target3"/>
    <dgm:cxn modelId="{81977C87-3301-4693-AFE2-AC3811B1F840}" type="presOf" srcId="{EA71B456-1FC0-4DE4-9F4A-417378843C82}" destId="{536CAB4B-913D-4D26-9EBF-0129EEA0CA72}" srcOrd="0" destOrd="0" presId="urn:microsoft.com/office/officeart/2005/8/layout/target3"/>
    <dgm:cxn modelId="{DFB5888C-25FF-4B4A-8AAA-297B2487DDA3}" srcId="{99EBF327-D30D-4541-93F0-4D8C92111EFE}" destId="{3FE9801C-457A-4B9C-B548-A6D59E2DD0CD}" srcOrd="2" destOrd="0" parTransId="{E0C95F55-877A-40D1-A7A7-5B2C95B7A44C}" sibTransId="{81A9C125-C969-4579-9911-634DD6299E26}"/>
    <dgm:cxn modelId="{1A99FB90-F0A5-4447-980E-587EB22B905D}" type="presOf" srcId="{5617F961-EC44-4A25-A8F9-BA10CBC4409A}" destId="{D7B65A8A-B746-481B-A870-C8285FE300CD}" srcOrd="0" destOrd="2" presId="urn:microsoft.com/office/officeart/2005/8/layout/target3"/>
    <dgm:cxn modelId="{3B8D7793-26A7-4365-AA86-77826630219E}" srcId="{35050C18-43C0-4A0C-AA2F-6D7DC68EC4C9}" destId="{EA71B456-1FC0-4DE4-9F4A-417378843C82}" srcOrd="0" destOrd="0" parTransId="{C3851F51-0FAB-43AF-93FA-60BF17C4BBB5}" sibTransId="{00D7CDB1-61C5-4A72-93D6-DAC7026886B4}"/>
    <dgm:cxn modelId="{803D199A-3B0E-4674-8EFB-39EE92563CAB}" type="presOf" srcId="{49E9CE18-D4D9-449F-A6F8-E76986260F92}" destId="{0826D31C-7E95-4C3C-82E7-906612B7B680}" srcOrd="0" destOrd="0" presId="urn:microsoft.com/office/officeart/2005/8/layout/target3"/>
    <dgm:cxn modelId="{DEB252A0-0EEF-44C9-B0C3-4C85058E5DE7}" type="presOf" srcId="{5810C717-AA99-432F-994B-456C1AB89D6C}" destId="{BB46FD88-F687-4C6C-9AA8-453CF3E89530}" srcOrd="0" destOrd="3" presId="urn:microsoft.com/office/officeart/2005/8/layout/target3"/>
    <dgm:cxn modelId="{40CAB6AB-E6A4-4084-8BA2-D49F594B248E}" srcId="{99EBF327-D30D-4541-93F0-4D8C92111EFE}" destId="{AA11F0D9-1E23-4BD4-9CAB-E5603F5E13B3}" srcOrd="0" destOrd="0" parTransId="{3D23AD14-850E-4742-A3AB-987BEE77DC1B}" sibTransId="{B511730D-B87F-4CD6-B712-C9BDCD95B499}"/>
    <dgm:cxn modelId="{CB326EAE-6A97-478F-BF79-34E74BB1E671}" type="presOf" srcId="{2BA3BB49-3E1E-40CD-B183-E71A8802A2F3}" destId="{24E50752-3CCB-431B-8B70-70626438200B}" srcOrd="0" destOrd="3" presId="urn:microsoft.com/office/officeart/2005/8/layout/target3"/>
    <dgm:cxn modelId="{AC2472B2-E972-4BB5-AD6C-75F33405AF7D}" type="presOf" srcId="{19EAE42D-9877-44D2-80B5-440E6575135C}" destId="{9E04B39F-2D8C-44C6-9887-A3E64574A0F6}" srcOrd="0" destOrd="0" presId="urn:microsoft.com/office/officeart/2005/8/layout/target3"/>
    <dgm:cxn modelId="{9908F2B6-0368-404D-9119-416556DCB32D}" type="presOf" srcId="{3CDDBF29-DC40-4785-8E55-88681EE6810C}" destId="{387D250D-7F11-4A49-9597-EE329407BAEB}" srcOrd="0" destOrd="0" presId="urn:microsoft.com/office/officeart/2005/8/layout/target3"/>
    <dgm:cxn modelId="{4039C2B9-5EF2-4437-B92C-AEC3165C3FDE}" type="presOf" srcId="{053DB687-419C-4651-94FD-41B9C920C1D6}" destId="{D7B65A8A-B746-481B-A870-C8285FE300CD}" srcOrd="0" destOrd="0" presId="urn:microsoft.com/office/officeart/2005/8/layout/target3"/>
    <dgm:cxn modelId="{0A522BBC-C6F6-441A-AF76-FF9E45EA4136}" srcId="{65D7F520-64D5-4B23-AD1C-0C547276D12D}" destId="{3CDDBF29-DC40-4785-8E55-88681EE6810C}" srcOrd="3" destOrd="0" parTransId="{2BC0311E-108B-4F7F-910A-2A6ECEB4DB8F}" sibTransId="{2668B911-5B6F-4EEA-B511-4BEF45BC69AE}"/>
    <dgm:cxn modelId="{E64F37BC-E9AB-40FC-AD89-728E84E29188}" srcId="{49E9CE18-D4D9-449F-A6F8-E76986260F92}" destId="{5617F961-EC44-4A25-A8F9-BA10CBC4409A}" srcOrd="2" destOrd="0" parTransId="{66AEDC02-63E4-4946-A50D-F08943A07B15}" sibTransId="{B1AE83F3-6600-4843-AD99-8AC9FDD50ABA}"/>
    <dgm:cxn modelId="{3B938ABC-8A63-435D-9D4D-E0C77B0EFF3F}" type="presOf" srcId="{C90499C5-B062-4827-94A2-0DB11D81FED9}" destId="{BB46FD88-F687-4C6C-9AA8-453CF3E89530}" srcOrd="0" destOrd="0" presId="urn:microsoft.com/office/officeart/2005/8/layout/target3"/>
    <dgm:cxn modelId="{3620B2C0-42B3-4981-80AE-BC3DA80C79AC}" type="presOf" srcId="{81D20BC8-E1B7-4A12-8F91-C4CC2CBAE2C8}" destId="{24E50752-3CCB-431B-8B70-70626438200B}" srcOrd="0" destOrd="2" presId="urn:microsoft.com/office/officeart/2005/8/layout/target3"/>
    <dgm:cxn modelId="{6A6954C3-ED9F-4949-8FF1-815778537D9D}" type="presOf" srcId="{44743AE4-81A8-4D88-8203-0CFAC152D00C}" destId="{E075561F-19A6-45AF-AB71-9F963E3AEFC5}" srcOrd="0" destOrd="1" presId="urn:microsoft.com/office/officeart/2005/8/layout/target3"/>
    <dgm:cxn modelId="{606828C4-3302-439E-A704-E6D635291136}" type="presOf" srcId="{1CA658E0-096E-4544-BE17-D9F86562086F}" destId="{272C6588-8A6F-4937-A317-A6AEEE131ABC}" srcOrd="0" destOrd="1" presId="urn:microsoft.com/office/officeart/2005/8/layout/target3"/>
    <dgm:cxn modelId="{0FE3E7C5-8C5D-4354-8FA5-7B452217FC95}" type="presOf" srcId="{26760E84-3F85-42C0-B0A3-42C5F88B4D2C}" destId="{536CAB4B-913D-4D26-9EBF-0129EEA0CA72}" srcOrd="0" destOrd="1" presId="urn:microsoft.com/office/officeart/2005/8/layout/target3"/>
    <dgm:cxn modelId="{1CEFFFC5-7980-47D5-8748-B0901520914F}" srcId="{19EAE42D-9877-44D2-80B5-440E6575135C}" destId="{E13D37C1-78B7-474E-8BD4-656677266E53}" srcOrd="1" destOrd="0" parTransId="{05C0B34A-F1EC-4785-A0EF-81BB42B93515}" sibTransId="{A82CAF2B-D7CD-4BA8-93BF-63A719F43C93}"/>
    <dgm:cxn modelId="{1DBB02CD-1355-46AA-886B-365D9DB27185}" type="presOf" srcId="{99EBF327-D30D-4541-93F0-4D8C92111EFE}" destId="{941DF15E-7418-4C2A-A13F-00868F91D2DC}" srcOrd="1" destOrd="0" presId="urn:microsoft.com/office/officeart/2005/8/layout/target3"/>
    <dgm:cxn modelId="{3E805ACE-AC86-45FB-B54B-C5110816D818}" srcId="{3CDDBF29-DC40-4785-8E55-88681EE6810C}" destId="{12CEEEE2-D966-4F23-9212-25B813CA634D}" srcOrd="0" destOrd="0" parTransId="{CECD3F75-0B0E-4102-BD0E-2A204C4D8A72}" sibTransId="{8BB7FE88-9EF3-4F05-8C90-91B94151973F}"/>
    <dgm:cxn modelId="{571D28D1-2035-46A8-A483-1E4B41757357}" srcId="{35050C18-43C0-4A0C-AA2F-6D7DC68EC4C9}" destId="{C6AA7800-7F21-40F3-93C3-A1042C35FACB}" srcOrd="3" destOrd="0" parTransId="{4FEA01BD-3098-4A55-B380-98B47EB7268C}" sibTransId="{9464E1D6-D222-477C-A0CB-B7BBF425CDDA}"/>
    <dgm:cxn modelId="{2D8359D4-D7C3-43C2-A21B-2BA8F923CF65}" srcId="{99EBF327-D30D-4541-93F0-4D8C92111EFE}" destId="{BDA5821F-FD4A-4B30-9CD0-E55D49E43AD1}" srcOrd="3" destOrd="0" parTransId="{BC935781-9CEA-46C6-9B3D-572265DE1D67}" sibTransId="{DDEC0EFC-3371-43EE-BF50-1AEBD2063650}"/>
    <dgm:cxn modelId="{5DBDABD4-C869-4851-BBBB-73F3CEDDA188}" srcId="{49E9CE18-D4D9-449F-A6F8-E76986260F92}" destId="{08EBBCCC-6B90-4A48-A42C-9649F4FF6845}" srcOrd="1" destOrd="0" parTransId="{0DD14BBE-3DC3-4214-B451-FD718A0B2B5A}" sibTransId="{DEAE8874-A1EC-4DEC-83A1-736B869230BA}"/>
    <dgm:cxn modelId="{F145BED7-55BF-44D2-9B88-FD7360F24253}" srcId="{F9AF7DD1-1A81-4E58-A55C-28C116029551}" destId="{2BA3BB49-3E1E-40CD-B183-E71A8802A2F3}" srcOrd="3" destOrd="0" parTransId="{957E37B2-7F5F-410A-8F07-ED90AB324E32}" sibTransId="{C6A7D47D-C607-4D8D-BF71-12B796D2F61A}"/>
    <dgm:cxn modelId="{C05D01DC-9FC9-49A5-8C3C-E7F48471C0A8}" srcId="{49E9CE18-D4D9-449F-A6F8-E76986260F92}" destId="{053DB687-419C-4651-94FD-41B9C920C1D6}" srcOrd="0" destOrd="0" parTransId="{72FE8D77-2AA2-4B62-82E2-A1A252798830}" sibTransId="{204AAE3E-AA4E-4AEE-9F1A-16DB8C9AA1F1}"/>
    <dgm:cxn modelId="{FF3A93DD-0CA7-4340-B11B-3D84DA45A0D3}" srcId="{65D7F520-64D5-4B23-AD1C-0C547276D12D}" destId="{99EBF327-D30D-4541-93F0-4D8C92111EFE}" srcOrd="4" destOrd="0" parTransId="{7A5FAF48-D204-4A9C-8F14-A30E112890A4}" sibTransId="{82FE7308-38E7-4A9E-A01A-4BE3CC372198}"/>
    <dgm:cxn modelId="{C4E884E3-3391-4583-A203-615978B98A8B}" type="presOf" srcId="{99EBF327-D30D-4541-93F0-4D8C92111EFE}" destId="{D1D234B6-D659-408E-A3D7-47D5A3C989AE}" srcOrd="0" destOrd="0" presId="urn:microsoft.com/office/officeart/2005/8/layout/target3"/>
    <dgm:cxn modelId="{0A2328EB-AA75-44A1-A6E7-7D1D3D304C71}" type="presOf" srcId="{F9AF7DD1-1A81-4E58-A55C-28C116029551}" destId="{5B2E95A6-FEF7-40EA-8D65-F411C9EACAAD}" srcOrd="1" destOrd="0" presId="urn:microsoft.com/office/officeart/2005/8/layout/target3"/>
    <dgm:cxn modelId="{1DF484EC-6BB5-4CC4-A16B-0992210EF08F}" type="presOf" srcId="{373FE5C1-41A5-4049-B0E3-7045A51FD44A}" destId="{536CAB4B-913D-4D26-9EBF-0129EEA0CA72}" srcOrd="0" destOrd="2" presId="urn:microsoft.com/office/officeart/2005/8/layout/target3"/>
    <dgm:cxn modelId="{330EFDFA-1E20-4C66-A2AF-9714E2BF1C31}" type="presOf" srcId="{49E9CE18-D4D9-449F-A6F8-E76986260F92}" destId="{4ADE1692-3F46-4277-904F-2D64C1A45A11}" srcOrd="1" destOrd="0" presId="urn:microsoft.com/office/officeart/2005/8/layout/target3"/>
    <dgm:cxn modelId="{83524BFC-27AC-4BB9-B00F-B419E50713DF}" type="presOf" srcId="{E13D37C1-78B7-474E-8BD4-656677266E53}" destId="{BB46FD88-F687-4C6C-9AA8-453CF3E89530}" srcOrd="0" destOrd="1" presId="urn:microsoft.com/office/officeart/2005/8/layout/target3"/>
    <dgm:cxn modelId="{FAE36943-FE4C-4FB5-9911-0D68618A9778}" type="presParOf" srcId="{065446B2-20E1-4C54-9F95-4A63CEC14C93}" destId="{28358CB6-AFF6-4A5C-92FB-F4E9CAF39A44}" srcOrd="0" destOrd="0" presId="urn:microsoft.com/office/officeart/2005/8/layout/target3"/>
    <dgm:cxn modelId="{9C094B8D-7721-48BD-82B9-BD008E77A5EC}" type="presParOf" srcId="{065446B2-20E1-4C54-9F95-4A63CEC14C93}" destId="{D735ECD4-22A5-49A1-B80A-C520A917E27F}" srcOrd="1" destOrd="0" presId="urn:microsoft.com/office/officeart/2005/8/layout/target3"/>
    <dgm:cxn modelId="{5757718F-BE67-4523-BE3F-C427D0BF56C5}" type="presParOf" srcId="{065446B2-20E1-4C54-9F95-4A63CEC14C93}" destId="{9E04B39F-2D8C-44C6-9887-A3E64574A0F6}" srcOrd="2" destOrd="0" presId="urn:microsoft.com/office/officeart/2005/8/layout/target3"/>
    <dgm:cxn modelId="{85868119-993B-4033-AD16-148146976ABD}" type="presParOf" srcId="{065446B2-20E1-4C54-9F95-4A63CEC14C93}" destId="{1D0CFA84-227B-42C0-8F79-7489DB62E3EB}" srcOrd="3" destOrd="0" presId="urn:microsoft.com/office/officeart/2005/8/layout/target3"/>
    <dgm:cxn modelId="{C858FAA5-B8F6-4FF2-A921-AC16A7D9F9B6}" type="presParOf" srcId="{065446B2-20E1-4C54-9F95-4A63CEC14C93}" destId="{A5EB401D-D85B-4860-BD6E-93EDFC523510}" srcOrd="4" destOrd="0" presId="urn:microsoft.com/office/officeart/2005/8/layout/target3"/>
    <dgm:cxn modelId="{0263A754-7696-4B7F-9490-5D9697E7DF71}" type="presParOf" srcId="{065446B2-20E1-4C54-9F95-4A63CEC14C93}" destId="{3D0D1CC1-83A9-4EF8-A4BE-15C2694FA637}" srcOrd="5" destOrd="0" presId="urn:microsoft.com/office/officeart/2005/8/layout/target3"/>
    <dgm:cxn modelId="{D78DCB84-9317-4914-B105-C52DC21373AB}" type="presParOf" srcId="{065446B2-20E1-4C54-9F95-4A63CEC14C93}" destId="{30BA49FF-543F-4038-9FCB-6586ECED7200}" srcOrd="6" destOrd="0" presId="urn:microsoft.com/office/officeart/2005/8/layout/target3"/>
    <dgm:cxn modelId="{E17C8AB1-0466-4B04-B34E-E2AA3B88F37B}" type="presParOf" srcId="{065446B2-20E1-4C54-9F95-4A63CEC14C93}" destId="{2B06710F-6B26-4AA9-A9F6-CE6C07F6889F}" srcOrd="7" destOrd="0" presId="urn:microsoft.com/office/officeart/2005/8/layout/target3"/>
    <dgm:cxn modelId="{A5F5B8CC-BFB2-45A9-A8E0-E1D4BCEB65EB}" type="presParOf" srcId="{065446B2-20E1-4C54-9F95-4A63CEC14C93}" destId="{B0584776-AEF5-4898-BD24-0D096271A19B}" srcOrd="8" destOrd="0" presId="urn:microsoft.com/office/officeart/2005/8/layout/target3"/>
    <dgm:cxn modelId="{FCC6FAB5-8935-499C-9636-B2CDEDA15226}" type="presParOf" srcId="{065446B2-20E1-4C54-9F95-4A63CEC14C93}" destId="{C06FF20F-B960-4F96-90EF-B6A960E473D8}" srcOrd="9" destOrd="0" presId="urn:microsoft.com/office/officeart/2005/8/layout/target3"/>
    <dgm:cxn modelId="{103ADA31-B087-442E-A39E-4FF1CAA32589}" type="presParOf" srcId="{065446B2-20E1-4C54-9F95-4A63CEC14C93}" destId="{FD00EA66-7CF4-48FF-BE12-A353301B4083}" srcOrd="10" destOrd="0" presId="urn:microsoft.com/office/officeart/2005/8/layout/target3"/>
    <dgm:cxn modelId="{54462286-CE97-44BD-9F66-81758955683A}" type="presParOf" srcId="{065446B2-20E1-4C54-9F95-4A63CEC14C93}" destId="{387D250D-7F11-4A49-9597-EE329407BAEB}" srcOrd="11" destOrd="0" presId="urn:microsoft.com/office/officeart/2005/8/layout/target3"/>
    <dgm:cxn modelId="{4CCC841E-572F-4ED5-BD01-8F537E130AAE}" type="presParOf" srcId="{065446B2-20E1-4C54-9F95-4A63CEC14C93}" destId="{68E9E041-744D-4F3D-92D8-29F24BC04367}" srcOrd="12" destOrd="0" presId="urn:microsoft.com/office/officeart/2005/8/layout/target3"/>
    <dgm:cxn modelId="{DA7B8298-39A7-4CE8-817A-5D8D4852836A}" type="presParOf" srcId="{065446B2-20E1-4C54-9F95-4A63CEC14C93}" destId="{CC2B52F7-A182-4ACE-B7F4-BD1493E3F065}" srcOrd="13" destOrd="0" presId="urn:microsoft.com/office/officeart/2005/8/layout/target3"/>
    <dgm:cxn modelId="{AE252E4D-AC82-4035-B1AE-9A06B7A33719}" type="presParOf" srcId="{065446B2-20E1-4C54-9F95-4A63CEC14C93}" destId="{D1D234B6-D659-408E-A3D7-47D5A3C989AE}" srcOrd="14" destOrd="0" presId="urn:microsoft.com/office/officeart/2005/8/layout/target3"/>
    <dgm:cxn modelId="{8BB7CBCB-9B2F-4419-8E48-1DB7C2D05398}" type="presParOf" srcId="{065446B2-20E1-4C54-9F95-4A63CEC14C93}" destId="{856BE4E1-492A-4193-BD53-C88D97B1C008}" srcOrd="15" destOrd="0" presId="urn:microsoft.com/office/officeart/2005/8/layout/target3"/>
    <dgm:cxn modelId="{8FD3C551-9EE8-4C2E-84F6-02E50499E36F}" type="presParOf" srcId="{065446B2-20E1-4C54-9F95-4A63CEC14C93}" destId="{83EF4FD9-96EB-43EB-9EFA-5F86428E3303}" srcOrd="16" destOrd="0" presId="urn:microsoft.com/office/officeart/2005/8/layout/target3"/>
    <dgm:cxn modelId="{36EDF3BD-5ABD-4120-BE16-5FA978400AFA}" type="presParOf" srcId="{065446B2-20E1-4C54-9F95-4A63CEC14C93}" destId="{0826D31C-7E95-4C3C-82E7-906612B7B680}" srcOrd="17" destOrd="0" presId="urn:microsoft.com/office/officeart/2005/8/layout/target3"/>
    <dgm:cxn modelId="{CDC1F7A7-0A00-47DD-BC9C-C6729AFB8C1F}" type="presParOf" srcId="{065446B2-20E1-4C54-9F95-4A63CEC14C93}" destId="{B3883268-9502-4034-86E2-E002153148E0}" srcOrd="18" destOrd="0" presId="urn:microsoft.com/office/officeart/2005/8/layout/target3"/>
    <dgm:cxn modelId="{16761646-FFEA-49C9-B1CD-F77E8EDC347F}" type="presParOf" srcId="{065446B2-20E1-4C54-9F95-4A63CEC14C93}" destId="{BB46FD88-F687-4C6C-9AA8-453CF3E89530}" srcOrd="19" destOrd="0" presId="urn:microsoft.com/office/officeart/2005/8/layout/target3"/>
    <dgm:cxn modelId="{D630E1CA-C931-4CE1-9B68-0904D20EFF08}" type="presParOf" srcId="{065446B2-20E1-4C54-9F95-4A63CEC14C93}" destId="{5B2E95A6-FEF7-40EA-8D65-F411C9EACAAD}" srcOrd="20" destOrd="0" presId="urn:microsoft.com/office/officeart/2005/8/layout/target3"/>
    <dgm:cxn modelId="{F0699AE7-6C9C-4CB2-AC6D-BB17568FA721}" type="presParOf" srcId="{065446B2-20E1-4C54-9F95-4A63CEC14C93}" destId="{24E50752-3CCB-431B-8B70-70626438200B}" srcOrd="21" destOrd="0" presId="urn:microsoft.com/office/officeart/2005/8/layout/target3"/>
    <dgm:cxn modelId="{413FEE57-B334-4902-8385-FAC1E313C7A4}" type="presParOf" srcId="{065446B2-20E1-4C54-9F95-4A63CEC14C93}" destId="{60A5A554-F412-44EB-A07D-8F087D080996}" srcOrd="22" destOrd="0" presId="urn:microsoft.com/office/officeart/2005/8/layout/target3"/>
    <dgm:cxn modelId="{29E6590F-A870-4531-9F41-11F8B7BEFA21}" type="presParOf" srcId="{065446B2-20E1-4C54-9F95-4A63CEC14C93}" destId="{536CAB4B-913D-4D26-9EBF-0129EEA0CA72}" srcOrd="23" destOrd="0" presId="urn:microsoft.com/office/officeart/2005/8/layout/target3"/>
    <dgm:cxn modelId="{BF87F2D0-5063-4315-B2B1-59730785BB53}" type="presParOf" srcId="{065446B2-20E1-4C54-9F95-4A63CEC14C93}" destId="{306BD696-9263-4675-A79E-66256EA12C30}" srcOrd="24" destOrd="0" presId="urn:microsoft.com/office/officeart/2005/8/layout/target3"/>
    <dgm:cxn modelId="{C2CE4675-F93C-494E-A595-DBCE103CADF1}" type="presParOf" srcId="{065446B2-20E1-4C54-9F95-4A63CEC14C93}" destId="{272C6588-8A6F-4937-A317-A6AEEE131ABC}" srcOrd="25" destOrd="0" presId="urn:microsoft.com/office/officeart/2005/8/layout/target3"/>
    <dgm:cxn modelId="{2332C7A4-1DBE-4A62-B58A-1F92AC64D37D}" type="presParOf" srcId="{065446B2-20E1-4C54-9F95-4A63CEC14C93}" destId="{941DF15E-7418-4C2A-A13F-00868F91D2DC}" srcOrd="26" destOrd="0" presId="urn:microsoft.com/office/officeart/2005/8/layout/target3"/>
    <dgm:cxn modelId="{998DA2CA-6D35-43BC-B81C-DA7AF48FC521}" type="presParOf" srcId="{065446B2-20E1-4C54-9F95-4A63CEC14C93}" destId="{E075561F-19A6-45AF-AB71-9F963E3AEFC5}" srcOrd="27" destOrd="0" presId="urn:microsoft.com/office/officeart/2005/8/layout/target3"/>
    <dgm:cxn modelId="{4133E42B-5239-486C-8711-B921FAC8AE91}" type="presParOf" srcId="{065446B2-20E1-4C54-9F95-4A63CEC14C93}" destId="{4ADE1692-3F46-4277-904F-2D64C1A45A11}" srcOrd="28" destOrd="0" presId="urn:microsoft.com/office/officeart/2005/8/layout/target3"/>
    <dgm:cxn modelId="{3D53876F-6494-4541-BD6E-020CBFD15551}" type="presParOf" srcId="{065446B2-20E1-4C54-9F95-4A63CEC14C93}" destId="{D7B65A8A-B746-481B-A870-C8285FE300CD}" srcOrd="29" destOrd="0" presId="urn:microsoft.com/office/officeart/2005/8/layout/target3"/>
  </dgm:cxnLst>
  <dgm:bg/>
  <dgm:whole/>
  <dgm:extLst>
    <a:ext uri="http://schemas.microsoft.com/office/drawing/2008/diagram">
      <dsp:dataModelExt xmlns:dsp="http://schemas.microsoft.com/office/drawing/2008/diagram" relId="rId16"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11AC314-890B-473C-8F7B-00BBB4CA868D}">
      <dsp:nvSpPr>
        <dsp:cNvPr id="0" name=""/>
        <dsp:cNvSpPr/>
      </dsp:nvSpPr>
      <dsp:spPr>
        <a:xfrm>
          <a:off x="3124" y="0"/>
          <a:ext cx="1170000" cy="1170000"/>
        </a:xfrm>
        <a:prstGeom prst="ellipse">
          <a:avLst/>
        </a:prstGeom>
        <a:solidFill>
          <a:schemeClr val="accent4">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2B55EE49-E545-4E5D-8CA7-758ABD8F1037}">
      <dsp:nvSpPr>
        <dsp:cNvPr id="0" name=""/>
        <dsp:cNvSpPr/>
      </dsp:nvSpPr>
      <dsp:spPr>
        <a:xfrm>
          <a:off x="120124" y="117000"/>
          <a:ext cx="936000" cy="936000"/>
        </a:xfrm>
        <a:prstGeom prst="chord">
          <a:avLst>
            <a:gd name="adj1" fmla="val 0"/>
            <a:gd name="adj2" fmla="val 10800000"/>
          </a:avLst>
        </a:prstGeom>
        <a:solidFill>
          <a:schemeClr val="lt1">
            <a:hueOff val="0"/>
            <a:satOff val="0"/>
            <a:lumOff val="0"/>
            <a:alphaOff val="0"/>
          </a:schemeClr>
        </a:solidFill>
        <a:ln w="12700" cap="flat" cmpd="sng" algn="ctr">
          <a:solidFill>
            <a:schemeClr val="accent4">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AC6BF7C1-5ECF-4DCC-B3E1-4A5389193B8C}">
      <dsp:nvSpPr>
        <dsp:cNvPr id="0" name=""/>
        <dsp:cNvSpPr/>
      </dsp:nvSpPr>
      <dsp:spPr>
        <a:xfrm>
          <a:off x="1416874" y="1170000"/>
          <a:ext cx="3461250" cy="492375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58420" tIns="58420" rIns="58420" bIns="58420" numCol="1" spcCol="1270" anchor="t" anchorCtr="0">
          <a:noAutofit/>
        </a:bodyPr>
        <a:lstStyle/>
        <a:p>
          <a:pPr marL="0" lvl="0" indent="0" algn="l" defTabSz="1022350">
            <a:lnSpc>
              <a:spcPct val="90000"/>
            </a:lnSpc>
            <a:spcBef>
              <a:spcPct val="0"/>
            </a:spcBef>
            <a:spcAft>
              <a:spcPct val="35000"/>
            </a:spcAft>
            <a:buNone/>
          </a:pPr>
          <a:r>
            <a:rPr lang="en-AU" sz="2300" u="sng" kern="1200"/>
            <a:t>Tier 1-4 Applications</a:t>
          </a:r>
        </a:p>
        <a:p>
          <a:pPr marL="171450" lvl="1" indent="-171450" algn="l" defTabSz="800100">
            <a:lnSpc>
              <a:spcPct val="90000"/>
            </a:lnSpc>
            <a:spcBef>
              <a:spcPct val="0"/>
            </a:spcBef>
            <a:spcAft>
              <a:spcPct val="15000"/>
            </a:spcAft>
            <a:buChar char="•"/>
          </a:pPr>
          <a:r>
            <a:rPr lang="en-AU" sz="1800" kern="1200"/>
            <a:t>Access VMs directly via RDP/SSH over private networks as an alternative to Azure Bastion</a:t>
          </a:r>
          <a:r>
            <a:rPr lang="en-AU" sz="1800" kern="1200" baseline="30000"/>
            <a:t>4</a:t>
          </a:r>
          <a:r>
            <a:rPr lang="en-AU" sz="1800" kern="1200"/>
            <a:t>. Use Defender for Cloud Just-in-time VM access to protect your VMs.</a:t>
          </a:r>
        </a:p>
        <a:p>
          <a:pPr marL="171450" lvl="1" indent="-171450" algn="l" defTabSz="800100">
            <a:lnSpc>
              <a:spcPct val="90000"/>
            </a:lnSpc>
            <a:spcBef>
              <a:spcPct val="0"/>
            </a:spcBef>
            <a:spcAft>
              <a:spcPct val="15000"/>
            </a:spcAft>
            <a:buChar char="•"/>
          </a:pPr>
          <a:r>
            <a:rPr lang="en-AU" sz="1800" kern="1200"/>
            <a:t>Deploy Azure Bastion into multiple VNets.</a:t>
          </a:r>
        </a:p>
        <a:p>
          <a:pPr marL="171450" lvl="1" indent="-171450" algn="l" defTabSz="800100">
            <a:lnSpc>
              <a:spcPct val="90000"/>
            </a:lnSpc>
            <a:spcBef>
              <a:spcPct val="0"/>
            </a:spcBef>
            <a:spcAft>
              <a:spcPct val="15000"/>
            </a:spcAft>
            <a:buChar char="•"/>
          </a:pPr>
          <a:r>
            <a:rPr lang="en-AU" sz="1800" kern="1200"/>
            <a:t>Protect your Bastion host with Azure DDoS protection.</a:t>
          </a:r>
        </a:p>
        <a:p>
          <a:pPr marL="171450" lvl="1" indent="-171450" algn="l" defTabSz="800100">
            <a:lnSpc>
              <a:spcPct val="90000"/>
            </a:lnSpc>
            <a:spcBef>
              <a:spcPct val="0"/>
            </a:spcBef>
            <a:spcAft>
              <a:spcPct val="15000"/>
            </a:spcAft>
            <a:buChar char="•"/>
          </a:pPr>
          <a:r>
            <a:rPr lang="en-AU" sz="1800" kern="1200"/>
            <a:t>Use Azure Bastion Host Scaling (Standard SKU for Azure Bastion)</a:t>
          </a:r>
        </a:p>
        <a:p>
          <a:pPr marL="171450" lvl="1" indent="-171450" algn="l" defTabSz="800100">
            <a:lnSpc>
              <a:spcPct val="90000"/>
            </a:lnSpc>
            <a:spcBef>
              <a:spcPct val="0"/>
            </a:spcBef>
            <a:spcAft>
              <a:spcPct val="15000"/>
            </a:spcAft>
            <a:buChar char="•"/>
          </a:pPr>
          <a:r>
            <a:rPr lang="en-AU" sz="1800" kern="1200"/>
            <a:t>Assign multiple administrators with access and allow access from multiple locations.</a:t>
          </a:r>
        </a:p>
        <a:p>
          <a:pPr marL="171450" lvl="1" indent="-171450" algn="l" defTabSz="800100">
            <a:lnSpc>
              <a:spcPct val="90000"/>
            </a:lnSpc>
            <a:spcBef>
              <a:spcPct val="0"/>
            </a:spcBef>
            <a:spcAft>
              <a:spcPct val="15000"/>
            </a:spcAft>
            <a:buChar char="•"/>
          </a:pPr>
          <a:r>
            <a:rPr lang="en-AU" sz="1800" kern="1200"/>
            <a:t>Create emergency access accounts to prevent lockout.</a:t>
          </a:r>
        </a:p>
      </dsp:txBody>
      <dsp:txXfrm>
        <a:off x="1416874" y="1170000"/>
        <a:ext cx="3461250" cy="4923750"/>
      </dsp:txXfrm>
    </dsp:sp>
    <dsp:sp modelId="{1764240F-41F9-42D2-8804-52DE5D0083C8}">
      <dsp:nvSpPr>
        <dsp:cNvPr id="0" name=""/>
        <dsp:cNvSpPr/>
      </dsp:nvSpPr>
      <dsp:spPr>
        <a:xfrm>
          <a:off x="1416874" y="0"/>
          <a:ext cx="3461250" cy="117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71120" tIns="71120" rIns="71120" bIns="71120" numCol="1" spcCol="1270" anchor="b" anchorCtr="0">
          <a:noAutofit/>
        </a:bodyPr>
        <a:lstStyle/>
        <a:p>
          <a:pPr marL="0" lvl="0" indent="0" algn="l" defTabSz="1244600">
            <a:lnSpc>
              <a:spcPct val="90000"/>
            </a:lnSpc>
            <a:spcBef>
              <a:spcPct val="0"/>
            </a:spcBef>
            <a:spcAft>
              <a:spcPct val="35000"/>
            </a:spcAft>
            <a:buNone/>
          </a:pPr>
          <a:r>
            <a:rPr lang="en-AU" sz="2800" kern="1200"/>
            <a:t>Availability</a:t>
          </a:r>
        </a:p>
      </dsp:txBody>
      <dsp:txXfrm>
        <a:off x="1416874" y="0"/>
        <a:ext cx="3461250" cy="1170000"/>
      </dsp:txXfrm>
    </dsp:sp>
    <dsp:sp modelId="{AA183D94-36D7-4B75-9F87-F2DBC47193CB}">
      <dsp:nvSpPr>
        <dsp:cNvPr id="0" name=""/>
        <dsp:cNvSpPr/>
      </dsp:nvSpPr>
      <dsp:spPr>
        <a:xfrm>
          <a:off x="5121874" y="0"/>
          <a:ext cx="1170000" cy="1170000"/>
        </a:xfrm>
        <a:prstGeom prst="ellipse">
          <a:avLst/>
        </a:prstGeom>
        <a:solidFill>
          <a:schemeClr val="accent4">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9EF24FDC-C911-45A7-90C1-FED8BAB1E0C4}">
      <dsp:nvSpPr>
        <dsp:cNvPr id="0" name=""/>
        <dsp:cNvSpPr/>
      </dsp:nvSpPr>
      <dsp:spPr>
        <a:xfrm>
          <a:off x="5238874" y="117000"/>
          <a:ext cx="936000" cy="936000"/>
        </a:xfrm>
        <a:prstGeom prst="chord">
          <a:avLst>
            <a:gd name="adj1" fmla="val 16200000"/>
            <a:gd name="adj2" fmla="val 16200000"/>
          </a:avLst>
        </a:prstGeom>
        <a:solidFill>
          <a:schemeClr val="lt1">
            <a:hueOff val="0"/>
            <a:satOff val="0"/>
            <a:lumOff val="0"/>
            <a:alphaOff val="0"/>
          </a:schemeClr>
        </a:solidFill>
        <a:ln w="12700" cap="flat" cmpd="sng" algn="ctr">
          <a:solidFill>
            <a:schemeClr val="accent4">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E93D3830-C9FC-416D-967A-6905CA1C5D94}">
      <dsp:nvSpPr>
        <dsp:cNvPr id="0" name=""/>
        <dsp:cNvSpPr/>
      </dsp:nvSpPr>
      <dsp:spPr>
        <a:xfrm>
          <a:off x="6535625" y="1170000"/>
          <a:ext cx="3461250" cy="4923749"/>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58420" tIns="58420" rIns="58420" bIns="58420" numCol="1" spcCol="1270" anchor="t" anchorCtr="0">
          <a:noAutofit/>
        </a:bodyPr>
        <a:lstStyle/>
        <a:p>
          <a:pPr marL="0" lvl="0" indent="0" algn="l" defTabSz="1022350">
            <a:lnSpc>
              <a:spcPct val="90000"/>
            </a:lnSpc>
            <a:spcBef>
              <a:spcPct val="0"/>
            </a:spcBef>
            <a:spcAft>
              <a:spcPct val="35000"/>
            </a:spcAft>
            <a:buNone/>
          </a:pPr>
          <a:r>
            <a:rPr lang="en-AU" sz="2300" u="sng" kern="1200"/>
            <a:t>Tier 1-4 Applications</a:t>
          </a:r>
        </a:p>
        <a:p>
          <a:pPr marL="171450" lvl="1" indent="-171450" algn="l" defTabSz="800100">
            <a:lnSpc>
              <a:spcPct val="90000"/>
            </a:lnSpc>
            <a:spcBef>
              <a:spcPct val="0"/>
            </a:spcBef>
            <a:spcAft>
              <a:spcPct val="15000"/>
            </a:spcAft>
            <a:buChar char="•"/>
          </a:pPr>
          <a:r>
            <a:rPr lang="en-AU" sz="1800" kern="1200"/>
            <a:t>Azure Bastion is deployed within VNets or peered VNets, and is associated to an Azure region. Deploy Azure Bastion to a DR site VNet. In the event of an Azure region failure, perform a failover operation for your VMs to the DR region. Then, use the Azure Bastion host that's deployed in the DR region to connect to the VMs that are now deployed there.</a:t>
          </a:r>
        </a:p>
      </dsp:txBody>
      <dsp:txXfrm>
        <a:off x="6535625" y="1170000"/>
        <a:ext cx="3461250" cy="4923749"/>
      </dsp:txXfrm>
    </dsp:sp>
    <dsp:sp modelId="{B6E2FDED-F034-4989-955A-6FD17C233760}">
      <dsp:nvSpPr>
        <dsp:cNvPr id="0" name=""/>
        <dsp:cNvSpPr/>
      </dsp:nvSpPr>
      <dsp:spPr>
        <a:xfrm>
          <a:off x="6535625" y="0"/>
          <a:ext cx="3461250" cy="117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71120" tIns="71120" rIns="71120" bIns="71120" numCol="1" spcCol="1270" anchor="b" anchorCtr="0">
          <a:noAutofit/>
        </a:bodyPr>
        <a:lstStyle/>
        <a:p>
          <a:pPr marL="0" lvl="0" indent="0" algn="l" defTabSz="1244600">
            <a:lnSpc>
              <a:spcPct val="90000"/>
            </a:lnSpc>
            <a:spcBef>
              <a:spcPct val="0"/>
            </a:spcBef>
            <a:spcAft>
              <a:spcPct val="35000"/>
            </a:spcAft>
            <a:buNone/>
          </a:pPr>
          <a:r>
            <a:rPr lang="en-AU" sz="2800" kern="1200"/>
            <a:t>Recovery</a:t>
          </a:r>
        </a:p>
      </dsp:txBody>
      <dsp:txXfrm>
        <a:off x="6535625" y="0"/>
        <a:ext cx="3461250" cy="1170000"/>
      </dsp:txXfrm>
    </dsp:sp>
  </dsp:spTree>
</dsp:drawing>
</file>

<file path=xl/diagrams/drawing10.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20F4674C-368B-4A6A-8E1C-5696B6904034}">
      <dsp:nvSpPr>
        <dsp:cNvPr id="0" name=""/>
        <dsp:cNvSpPr/>
      </dsp:nvSpPr>
      <dsp:spPr>
        <a:xfrm>
          <a:off x="393279" y="2676"/>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kern="1200"/>
            <a:t>Start</a:t>
          </a:r>
        </a:p>
      </dsp:txBody>
      <dsp:txXfrm>
        <a:off x="427747" y="37144"/>
        <a:ext cx="1892432" cy="1107885"/>
      </dsp:txXfrm>
    </dsp:sp>
    <dsp:sp modelId="{8D2C8DFD-97B6-4542-87C0-E0B4E7516398}">
      <dsp:nvSpPr>
        <dsp:cNvPr id="0" name=""/>
        <dsp:cNvSpPr/>
      </dsp:nvSpPr>
      <dsp:spPr>
        <a:xfrm>
          <a:off x="2527248" y="347877"/>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a:off x="2527248" y="445161"/>
        <a:ext cx="291067" cy="291851"/>
      </dsp:txXfrm>
    </dsp:sp>
    <dsp:sp modelId="{CFBECC0C-1AE3-4EC3-A63A-ACB3920E1571}">
      <dsp:nvSpPr>
        <dsp:cNvPr id="0" name=""/>
        <dsp:cNvSpPr/>
      </dsp:nvSpPr>
      <dsp:spPr>
        <a:xfrm>
          <a:off x="3139195" y="2676"/>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A customer calls a call center to place an order.</a:t>
          </a:r>
          <a:endParaRPr lang="en-AU" sz="1100" kern="1200"/>
        </a:p>
      </dsp:txBody>
      <dsp:txXfrm>
        <a:off x="3173663" y="37144"/>
        <a:ext cx="1892432" cy="1107885"/>
      </dsp:txXfrm>
    </dsp:sp>
    <dsp:sp modelId="{791E4784-D713-43B5-9745-595E6B54F1C5}">
      <dsp:nvSpPr>
        <dsp:cNvPr id="0" name=""/>
        <dsp:cNvSpPr/>
      </dsp:nvSpPr>
      <dsp:spPr>
        <a:xfrm>
          <a:off x="5273164" y="347877"/>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a:off x="5273164" y="445161"/>
        <a:ext cx="291067" cy="291851"/>
      </dsp:txXfrm>
    </dsp:sp>
    <dsp:sp modelId="{1DBFA8EE-8EAF-463B-99FA-4ADBC3198EE0}">
      <dsp:nvSpPr>
        <dsp:cNvPr id="0" name=""/>
        <dsp:cNvSpPr/>
      </dsp:nvSpPr>
      <dsp:spPr>
        <a:xfrm>
          <a:off x="5885111" y="2676"/>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A call center representative confirms the customer identity by asking for personal information including name, address, date of birth, drivers license number and PIN.</a:t>
          </a:r>
          <a:endParaRPr lang="en-AU" sz="1100" kern="1200"/>
        </a:p>
      </dsp:txBody>
      <dsp:txXfrm>
        <a:off x="5919579" y="37144"/>
        <a:ext cx="1892432" cy="1107885"/>
      </dsp:txXfrm>
    </dsp:sp>
    <dsp:sp modelId="{7D25FBB2-6AC4-4FCE-8381-8B92AD5103B4}">
      <dsp:nvSpPr>
        <dsp:cNvPr id="0" name=""/>
        <dsp:cNvSpPr/>
      </dsp:nvSpPr>
      <dsp:spPr>
        <a:xfrm rot="5400000">
          <a:off x="6657891" y="1316793"/>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rot="-5400000">
        <a:off x="6719871" y="1352098"/>
        <a:ext cx="291851" cy="291067"/>
      </dsp:txXfrm>
    </dsp:sp>
    <dsp:sp modelId="{325A4A05-2F82-4F7C-A842-EABBEA667D07}">
      <dsp:nvSpPr>
        <dsp:cNvPr id="0" name=""/>
        <dsp:cNvSpPr/>
      </dsp:nvSpPr>
      <dsp:spPr>
        <a:xfrm>
          <a:off x="5885111" y="1964045"/>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The call center representative takes down the customer’s order details such as product name, quantity, delivery address, and payment method.</a:t>
          </a:r>
          <a:endParaRPr lang="en-AU" sz="1100" kern="1200"/>
        </a:p>
      </dsp:txBody>
      <dsp:txXfrm>
        <a:off x="5919579" y="1998513"/>
        <a:ext cx="1892432" cy="1107885"/>
      </dsp:txXfrm>
    </dsp:sp>
    <dsp:sp modelId="{0A7ADCED-5487-4419-837E-5EEA1EAFEE17}">
      <dsp:nvSpPr>
        <dsp:cNvPr id="0" name=""/>
        <dsp:cNvSpPr/>
      </dsp:nvSpPr>
      <dsp:spPr>
        <a:xfrm rot="10800000">
          <a:off x="5296701" y="2309245"/>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rot="10800000">
        <a:off x="5421444" y="2406529"/>
        <a:ext cx="291067" cy="291851"/>
      </dsp:txXfrm>
    </dsp:sp>
    <dsp:sp modelId="{1E90D289-5CFF-4366-A098-1D993954A2E3}">
      <dsp:nvSpPr>
        <dsp:cNvPr id="0" name=""/>
        <dsp:cNvSpPr/>
      </dsp:nvSpPr>
      <dsp:spPr>
        <a:xfrm>
          <a:off x="3139195" y="1964045"/>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The call center representative then enters this information into a backup order management system which creates an order record.</a:t>
          </a:r>
          <a:endParaRPr lang="en-AU" sz="1100" kern="1200"/>
        </a:p>
      </dsp:txBody>
      <dsp:txXfrm>
        <a:off x="3173663" y="1998513"/>
        <a:ext cx="1892432" cy="1107885"/>
      </dsp:txXfrm>
    </dsp:sp>
    <dsp:sp modelId="{AA53A3CC-9B6D-4CA4-91D9-46A71C995634}">
      <dsp:nvSpPr>
        <dsp:cNvPr id="0" name=""/>
        <dsp:cNvSpPr/>
      </dsp:nvSpPr>
      <dsp:spPr>
        <a:xfrm rot="10800000">
          <a:off x="2550785" y="2309245"/>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rot="10800000">
        <a:off x="2675528" y="2406529"/>
        <a:ext cx="291067" cy="291851"/>
      </dsp:txXfrm>
    </dsp:sp>
    <dsp:sp modelId="{41478BBE-BEDE-4FE6-A0C4-20F6F1DD3AFC}">
      <dsp:nvSpPr>
        <dsp:cNvPr id="0" name=""/>
        <dsp:cNvSpPr/>
      </dsp:nvSpPr>
      <dsp:spPr>
        <a:xfrm>
          <a:off x="393279" y="1964045"/>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The backup order management system sends this order record to the backup warehouse management system which manages inventory and fulfillment.</a:t>
          </a:r>
          <a:endParaRPr lang="en-AU" sz="1100" kern="1200"/>
        </a:p>
      </dsp:txBody>
      <dsp:txXfrm>
        <a:off x="427747" y="1998513"/>
        <a:ext cx="1892432" cy="1107885"/>
      </dsp:txXfrm>
    </dsp:sp>
    <dsp:sp modelId="{DCC590DE-9BFA-4AEF-BC38-77C3878E7786}">
      <dsp:nvSpPr>
        <dsp:cNvPr id="0" name=""/>
        <dsp:cNvSpPr/>
      </dsp:nvSpPr>
      <dsp:spPr>
        <a:xfrm rot="5400000">
          <a:off x="1166058" y="3278162"/>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rot="-5400000">
        <a:off x="1228038" y="3313467"/>
        <a:ext cx="291851" cy="291067"/>
      </dsp:txXfrm>
    </dsp:sp>
    <dsp:sp modelId="{95AFA99D-07D8-4373-A488-1EC7FEEBE581}">
      <dsp:nvSpPr>
        <dsp:cNvPr id="0" name=""/>
        <dsp:cNvSpPr/>
      </dsp:nvSpPr>
      <dsp:spPr>
        <a:xfrm>
          <a:off x="393279" y="3925413"/>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The backup warehouse management system receives the order record and assigns it to a warehouse worker for picking and packing.</a:t>
          </a:r>
          <a:endParaRPr lang="en-AU" sz="1100" kern="1200"/>
        </a:p>
      </dsp:txBody>
      <dsp:txXfrm>
        <a:off x="427747" y="3959881"/>
        <a:ext cx="1892432" cy="1107885"/>
      </dsp:txXfrm>
    </dsp:sp>
    <dsp:sp modelId="{B1407EEB-228A-462C-B318-1836266C292D}">
      <dsp:nvSpPr>
        <dsp:cNvPr id="0" name=""/>
        <dsp:cNvSpPr/>
      </dsp:nvSpPr>
      <dsp:spPr>
        <a:xfrm>
          <a:off x="2527248" y="4270614"/>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a:off x="2527248" y="4367898"/>
        <a:ext cx="291067" cy="291851"/>
      </dsp:txXfrm>
    </dsp:sp>
    <dsp:sp modelId="{8E67BC05-8A8D-4A96-993E-567DAF8B348B}">
      <dsp:nvSpPr>
        <dsp:cNvPr id="0" name=""/>
        <dsp:cNvSpPr/>
      </dsp:nvSpPr>
      <dsp:spPr>
        <a:xfrm>
          <a:off x="3139195" y="3925413"/>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The warehouse worker confirms stock and advises the call center representative.</a:t>
          </a:r>
          <a:endParaRPr lang="en-AU" sz="1100" kern="1200"/>
        </a:p>
      </dsp:txBody>
      <dsp:txXfrm>
        <a:off x="3173663" y="3959881"/>
        <a:ext cx="1892432" cy="1107885"/>
      </dsp:txXfrm>
    </dsp:sp>
    <dsp:sp modelId="{B5D1D8DE-1356-4C9C-A4F1-82B59F515425}">
      <dsp:nvSpPr>
        <dsp:cNvPr id="0" name=""/>
        <dsp:cNvSpPr/>
      </dsp:nvSpPr>
      <dsp:spPr>
        <a:xfrm>
          <a:off x="5273164" y="4270614"/>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a:off x="5273164" y="4367898"/>
        <a:ext cx="291067" cy="291851"/>
      </dsp:txXfrm>
    </dsp:sp>
    <dsp:sp modelId="{7B6776DC-8309-446F-929C-2B7C809090A0}">
      <dsp:nvSpPr>
        <dsp:cNvPr id="0" name=""/>
        <dsp:cNvSpPr/>
      </dsp:nvSpPr>
      <dsp:spPr>
        <a:xfrm>
          <a:off x="5885111" y="3925413"/>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The call center representative confirms the purchase order, payment and shipping information and instructs the warehouse worker to ship the order to the customer.</a:t>
          </a:r>
          <a:endParaRPr lang="en-AU" sz="1100" kern="1200"/>
        </a:p>
      </dsp:txBody>
      <dsp:txXfrm>
        <a:off x="5919579" y="3959881"/>
        <a:ext cx="1892432" cy="1107885"/>
      </dsp:txXfrm>
    </dsp:sp>
    <dsp:sp modelId="{E241568D-2AEF-4481-92D6-137BECCDF063}">
      <dsp:nvSpPr>
        <dsp:cNvPr id="0" name=""/>
        <dsp:cNvSpPr/>
      </dsp:nvSpPr>
      <dsp:spPr>
        <a:xfrm rot="5400000">
          <a:off x="6657891" y="5239530"/>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rot="-5400000">
        <a:off x="6719871" y="5274835"/>
        <a:ext cx="291851" cy="291067"/>
      </dsp:txXfrm>
    </dsp:sp>
    <dsp:sp modelId="{72B0981F-F166-410E-8BE0-3D7707FC7D94}">
      <dsp:nvSpPr>
        <dsp:cNvPr id="0" name=""/>
        <dsp:cNvSpPr/>
      </dsp:nvSpPr>
      <dsp:spPr>
        <a:xfrm>
          <a:off x="5885111" y="5886782"/>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The warehouse worker picks the item(s) from their respective locations in the warehouse and packs them into boxes.</a:t>
          </a:r>
          <a:endParaRPr lang="en-AU" sz="1100" kern="1200"/>
        </a:p>
      </dsp:txBody>
      <dsp:txXfrm>
        <a:off x="5919579" y="5921250"/>
        <a:ext cx="1892432" cy="1107885"/>
      </dsp:txXfrm>
    </dsp:sp>
    <dsp:sp modelId="{A22331AE-A7F4-4EDF-9778-70469B5C9A65}">
      <dsp:nvSpPr>
        <dsp:cNvPr id="0" name=""/>
        <dsp:cNvSpPr/>
      </dsp:nvSpPr>
      <dsp:spPr>
        <a:xfrm rot="10800000">
          <a:off x="5296701" y="6231983"/>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rot="10800000">
        <a:off x="5421444" y="6329267"/>
        <a:ext cx="291067" cy="291851"/>
      </dsp:txXfrm>
    </dsp:sp>
    <dsp:sp modelId="{4DA1F20F-4705-4D4B-A3D3-598792FDDA0A}">
      <dsp:nvSpPr>
        <dsp:cNvPr id="0" name=""/>
        <dsp:cNvSpPr/>
      </dsp:nvSpPr>
      <dsp:spPr>
        <a:xfrm>
          <a:off x="3139195" y="5886782"/>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b="0" i="0" u="none" kern="1200"/>
            <a:t>The packed boxes are then sent to the shipping department where they are labelled and shipped to the customer.</a:t>
          </a:r>
          <a:endParaRPr lang="en-AU" sz="1100" kern="1200"/>
        </a:p>
      </dsp:txBody>
      <dsp:txXfrm>
        <a:off x="3173663" y="5921250"/>
        <a:ext cx="1892432" cy="1107885"/>
      </dsp:txXfrm>
    </dsp:sp>
    <dsp:sp modelId="{0F08ED1C-95EA-4526-B65B-730DB7A8FA63}">
      <dsp:nvSpPr>
        <dsp:cNvPr id="0" name=""/>
        <dsp:cNvSpPr/>
      </dsp:nvSpPr>
      <dsp:spPr>
        <a:xfrm rot="10800000">
          <a:off x="2550785" y="6231983"/>
          <a:ext cx="415810" cy="486419"/>
        </a:xfrm>
        <a:prstGeom prst="rightArrow">
          <a:avLst>
            <a:gd name="adj1" fmla="val 60000"/>
            <a:gd name="adj2" fmla="val 50000"/>
          </a:avLst>
        </a:prstGeom>
        <a:solidFill>
          <a:schemeClr val="dk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00050">
            <a:lnSpc>
              <a:spcPct val="90000"/>
            </a:lnSpc>
            <a:spcBef>
              <a:spcPct val="0"/>
            </a:spcBef>
            <a:spcAft>
              <a:spcPct val="35000"/>
            </a:spcAft>
            <a:buNone/>
          </a:pPr>
          <a:endParaRPr lang="en-AU" sz="900" kern="1200"/>
        </a:p>
      </dsp:txBody>
      <dsp:txXfrm rot="10800000">
        <a:off x="2675528" y="6329267"/>
        <a:ext cx="291067" cy="291851"/>
      </dsp:txXfrm>
    </dsp:sp>
    <dsp:sp modelId="{7EE358B6-D000-43CC-952B-218A3885B3CD}">
      <dsp:nvSpPr>
        <dsp:cNvPr id="0" name=""/>
        <dsp:cNvSpPr/>
      </dsp:nvSpPr>
      <dsp:spPr>
        <a:xfrm>
          <a:off x="393279" y="5886782"/>
          <a:ext cx="1961368" cy="1176821"/>
        </a:xfrm>
        <a:prstGeom prst="roundRect">
          <a:avLst>
            <a:gd name="adj" fmla="val 10000"/>
          </a:avLst>
        </a:prstGeom>
        <a:solidFill>
          <a:schemeClr val="lt1">
            <a:hueOff val="0"/>
            <a:satOff val="0"/>
            <a:lumOff val="0"/>
            <a:alphaOff val="0"/>
          </a:schemeClr>
        </a:solidFill>
        <a:ln w="12700" cap="flat" cmpd="sng" algn="ctr">
          <a:solidFill>
            <a:schemeClr val="dk1">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1910" tIns="41910" rIns="41910" bIns="41910" numCol="1" spcCol="1270" anchor="ctr" anchorCtr="0">
          <a:noAutofit/>
        </a:bodyPr>
        <a:lstStyle/>
        <a:p>
          <a:pPr marL="0" lvl="0" indent="0" algn="ctr" defTabSz="488950">
            <a:lnSpc>
              <a:spcPct val="90000"/>
            </a:lnSpc>
            <a:spcBef>
              <a:spcPct val="0"/>
            </a:spcBef>
            <a:spcAft>
              <a:spcPct val="35000"/>
            </a:spcAft>
            <a:buNone/>
          </a:pPr>
          <a:r>
            <a:rPr lang="en-AU" sz="1100" kern="1200"/>
            <a:t>End: When the system comes back online the call center</a:t>
          </a:r>
          <a:r>
            <a:rPr lang="en-AU" sz="1100" kern="1200" baseline="0"/>
            <a:t> representative updates the system using the manual entry update function.</a:t>
          </a:r>
          <a:endParaRPr lang="en-AU" sz="1100" kern="1200"/>
        </a:p>
      </dsp:txBody>
      <dsp:txXfrm>
        <a:off x="427747" y="5921250"/>
        <a:ext cx="1892432" cy="1107885"/>
      </dsp:txXfrm>
    </dsp:sp>
  </dsp:spTree>
</dsp:drawing>
</file>

<file path=xl/diagrams/drawing1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344182A4-37C0-4E7B-B805-3DEC958888BB}">
      <dsp:nvSpPr>
        <dsp:cNvPr id="0" name=""/>
        <dsp:cNvSpPr/>
      </dsp:nvSpPr>
      <dsp:spPr>
        <a:xfrm>
          <a:off x="2217301" y="1319603"/>
          <a:ext cx="478514" cy="91440"/>
        </a:xfrm>
        <a:custGeom>
          <a:avLst/>
          <a:gdLst/>
          <a:ahLst/>
          <a:cxnLst/>
          <a:rect l="0" t="0" r="0" b="0"/>
          <a:pathLst>
            <a:path>
              <a:moveTo>
                <a:pt x="0" y="45720"/>
              </a:moveTo>
              <a:lnTo>
                <a:pt x="47851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2443831" y="1362778"/>
        <a:ext cx="25455" cy="5091"/>
      </dsp:txXfrm>
    </dsp:sp>
    <dsp:sp modelId="{704043AB-80C6-477D-8E81-CB9170335BA3}">
      <dsp:nvSpPr>
        <dsp:cNvPr id="0" name=""/>
        <dsp:cNvSpPr/>
      </dsp:nvSpPr>
      <dsp:spPr>
        <a:xfrm>
          <a:off x="5559" y="701261"/>
          <a:ext cx="2213541" cy="1328125"/>
        </a:xfrm>
        <a:prstGeom prst="rect">
          <a:avLst/>
        </a:prstGeom>
        <a:solidFill>
          <a:srgbClr val="F2502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t>Step 1: UAT Test Plan is executed in full to validate the current status and duration for each UAT activity</a:t>
          </a:r>
          <a:endParaRPr lang="en-AU" sz="1200" kern="1200"/>
        </a:p>
      </dsp:txBody>
      <dsp:txXfrm>
        <a:off x="5559" y="701261"/>
        <a:ext cx="2213541" cy="1328125"/>
      </dsp:txXfrm>
    </dsp:sp>
    <dsp:sp modelId="{2966A84D-E75B-4B3C-B9C4-F49CF9BDDF36}">
      <dsp:nvSpPr>
        <dsp:cNvPr id="0" name=""/>
        <dsp:cNvSpPr/>
      </dsp:nvSpPr>
      <dsp:spPr>
        <a:xfrm>
          <a:off x="4939958" y="1319603"/>
          <a:ext cx="478514" cy="91440"/>
        </a:xfrm>
        <a:custGeom>
          <a:avLst/>
          <a:gdLst/>
          <a:ahLst/>
          <a:cxnLst/>
          <a:rect l="0" t="0" r="0" b="0"/>
          <a:pathLst>
            <a:path>
              <a:moveTo>
                <a:pt x="0" y="45720"/>
              </a:moveTo>
              <a:lnTo>
                <a:pt x="47851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5166487" y="1362778"/>
        <a:ext cx="25455" cy="5091"/>
      </dsp:txXfrm>
    </dsp:sp>
    <dsp:sp modelId="{B16DD166-5E53-438B-9BD3-652B3D58548B}">
      <dsp:nvSpPr>
        <dsp:cNvPr id="0" name=""/>
        <dsp:cNvSpPr/>
      </dsp:nvSpPr>
      <dsp:spPr>
        <a:xfrm>
          <a:off x="2728216" y="701261"/>
          <a:ext cx="2213541" cy="1328125"/>
        </a:xfrm>
        <a:prstGeom prst="rect">
          <a:avLst/>
        </a:prstGeom>
        <a:solidFill>
          <a:srgbClr val="FFB9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kern="1200">
              <a:solidFill>
                <a:sysClr val="windowText" lastClr="000000"/>
              </a:solidFill>
            </a:rPr>
            <a:t>Step 2: BCDR Engineer starts Chaos Experiment to stop the app service in the primary region</a:t>
          </a:r>
        </a:p>
      </dsp:txBody>
      <dsp:txXfrm>
        <a:off x="2728216" y="701261"/>
        <a:ext cx="2213541" cy="1328125"/>
      </dsp:txXfrm>
    </dsp:sp>
    <dsp:sp modelId="{4F01D6A2-650C-476D-B4CF-A0A38F1B91C3}">
      <dsp:nvSpPr>
        <dsp:cNvPr id="0" name=""/>
        <dsp:cNvSpPr/>
      </dsp:nvSpPr>
      <dsp:spPr>
        <a:xfrm>
          <a:off x="7662615" y="1319603"/>
          <a:ext cx="478514" cy="91440"/>
        </a:xfrm>
        <a:custGeom>
          <a:avLst/>
          <a:gdLst/>
          <a:ahLst/>
          <a:cxnLst/>
          <a:rect l="0" t="0" r="0" b="0"/>
          <a:pathLst>
            <a:path>
              <a:moveTo>
                <a:pt x="0" y="45720"/>
              </a:moveTo>
              <a:lnTo>
                <a:pt x="47851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7889144" y="1362778"/>
        <a:ext cx="25455" cy="5091"/>
      </dsp:txXfrm>
    </dsp:sp>
    <dsp:sp modelId="{83D4C33A-0E81-47D4-8577-BC605B185BBB}">
      <dsp:nvSpPr>
        <dsp:cNvPr id="0" name=""/>
        <dsp:cNvSpPr/>
      </dsp:nvSpPr>
      <dsp:spPr>
        <a:xfrm>
          <a:off x="5450873" y="701261"/>
          <a:ext cx="2213541" cy="1328125"/>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solidFill>
                <a:sysClr val="windowText" lastClr="000000"/>
              </a:solidFill>
            </a:rPr>
            <a:t>Step 3: UAT Test Plan is executed again in full to validate the failed over status and duration for each step</a:t>
          </a:r>
          <a:endParaRPr lang="en-AU" sz="1200" kern="1200">
            <a:solidFill>
              <a:sysClr val="windowText" lastClr="000000"/>
            </a:solidFill>
          </a:endParaRPr>
        </a:p>
      </dsp:txBody>
      <dsp:txXfrm>
        <a:off x="5450873" y="701261"/>
        <a:ext cx="2213541" cy="1328125"/>
      </dsp:txXfrm>
    </dsp:sp>
    <dsp:sp modelId="{19B66FC7-EC42-4328-B797-0B6E07513D9F}">
      <dsp:nvSpPr>
        <dsp:cNvPr id="0" name=""/>
        <dsp:cNvSpPr/>
      </dsp:nvSpPr>
      <dsp:spPr>
        <a:xfrm>
          <a:off x="10385271" y="1319603"/>
          <a:ext cx="478514" cy="91440"/>
        </a:xfrm>
        <a:custGeom>
          <a:avLst/>
          <a:gdLst/>
          <a:ahLst/>
          <a:cxnLst/>
          <a:rect l="0" t="0" r="0" b="0"/>
          <a:pathLst>
            <a:path>
              <a:moveTo>
                <a:pt x="0" y="45720"/>
              </a:moveTo>
              <a:lnTo>
                <a:pt x="47851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0611801" y="1362778"/>
        <a:ext cx="25455" cy="5091"/>
      </dsp:txXfrm>
    </dsp:sp>
    <dsp:sp modelId="{BAFA43E4-F415-4A6D-A0D4-03DA9964343C}">
      <dsp:nvSpPr>
        <dsp:cNvPr id="0" name=""/>
        <dsp:cNvSpPr/>
      </dsp:nvSpPr>
      <dsp:spPr>
        <a:xfrm>
          <a:off x="8173529" y="701261"/>
          <a:ext cx="2213541" cy="1328125"/>
        </a:xfrm>
        <a:prstGeom prst="rect">
          <a:avLst/>
        </a:prstGeom>
        <a:solidFill>
          <a:srgbClr val="00A4EF"/>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kern="1200">
              <a:solidFill>
                <a:sysClr val="windowText" lastClr="000000"/>
              </a:solidFill>
            </a:rPr>
            <a:t>Step 4: BCDR Engineer confirms that App Service in the standby region is online and accepting traffic</a:t>
          </a:r>
        </a:p>
      </dsp:txBody>
      <dsp:txXfrm>
        <a:off x="8173529" y="701261"/>
        <a:ext cx="2213541" cy="1328125"/>
      </dsp:txXfrm>
    </dsp:sp>
    <dsp:sp modelId="{94A73431-F3C7-4819-90A6-2DA23EEB8498}">
      <dsp:nvSpPr>
        <dsp:cNvPr id="0" name=""/>
        <dsp:cNvSpPr/>
      </dsp:nvSpPr>
      <dsp:spPr>
        <a:xfrm>
          <a:off x="13107928" y="1319603"/>
          <a:ext cx="478514" cy="91440"/>
        </a:xfrm>
        <a:custGeom>
          <a:avLst/>
          <a:gdLst/>
          <a:ahLst/>
          <a:cxnLst/>
          <a:rect l="0" t="0" r="0" b="0"/>
          <a:pathLst>
            <a:path>
              <a:moveTo>
                <a:pt x="0" y="45720"/>
              </a:moveTo>
              <a:lnTo>
                <a:pt x="47851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3334457" y="1362778"/>
        <a:ext cx="25455" cy="5091"/>
      </dsp:txXfrm>
    </dsp:sp>
    <dsp:sp modelId="{5E4B7EDF-777B-4B09-A4FC-3229534D87F0}">
      <dsp:nvSpPr>
        <dsp:cNvPr id="0" name=""/>
        <dsp:cNvSpPr/>
      </dsp:nvSpPr>
      <dsp:spPr>
        <a:xfrm>
          <a:off x="10896186" y="701261"/>
          <a:ext cx="2213541" cy="1328125"/>
        </a:xfrm>
        <a:prstGeom prst="rect">
          <a:avLst/>
        </a:prstGeom>
        <a:solidFill>
          <a:srgbClr val="F2502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kern="1200">
              <a:solidFill>
                <a:schemeClr val="bg1"/>
              </a:solidFill>
            </a:rPr>
            <a:t>Step 5: BCDR Engineer confirms that Front Door is now routing traffic to the secondary region</a:t>
          </a:r>
        </a:p>
      </dsp:txBody>
      <dsp:txXfrm>
        <a:off x="10896186" y="701261"/>
        <a:ext cx="2213541" cy="1328125"/>
      </dsp:txXfrm>
    </dsp:sp>
    <dsp:sp modelId="{7AE3D2AF-4DD2-4A44-A10F-678EB38391DD}">
      <dsp:nvSpPr>
        <dsp:cNvPr id="0" name=""/>
        <dsp:cNvSpPr/>
      </dsp:nvSpPr>
      <dsp:spPr>
        <a:xfrm>
          <a:off x="15830584" y="1319603"/>
          <a:ext cx="478514" cy="91440"/>
        </a:xfrm>
        <a:custGeom>
          <a:avLst/>
          <a:gdLst/>
          <a:ahLst/>
          <a:cxnLst/>
          <a:rect l="0" t="0" r="0" b="0"/>
          <a:pathLst>
            <a:path>
              <a:moveTo>
                <a:pt x="0" y="45720"/>
              </a:moveTo>
              <a:lnTo>
                <a:pt x="47851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6057114" y="1362778"/>
        <a:ext cx="25455" cy="5091"/>
      </dsp:txXfrm>
    </dsp:sp>
    <dsp:sp modelId="{C6C4C6BC-07FD-4207-A427-7104B71C5972}">
      <dsp:nvSpPr>
        <dsp:cNvPr id="0" name=""/>
        <dsp:cNvSpPr/>
      </dsp:nvSpPr>
      <dsp:spPr>
        <a:xfrm>
          <a:off x="13618842" y="701261"/>
          <a:ext cx="2213541" cy="1328125"/>
        </a:xfrm>
        <a:prstGeom prst="rect">
          <a:avLst/>
        </a:prstGeom>
        <a:solidFill>
          <a:srgbClr val="FFB9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kern="1200">
              <a:solidFill>
                <a:sysClr val="windowText" lastClr="000000"/>
              </a:solidFill>
            </a:rPr>
            <a:t>Step 7: BCDR Engineer reviews monitoring data during the test and compares it with an established baseline</a:t>
          </a:r>
        </a:p>
      </dsp:txBody>
      <dsp:txXfrm>
        <a:off x="13618842" y="701261"/>
        <a:ext cx="2213541" cy="1328125"/>
      </dsp:txXfrm>
    </dsp:sp>
    <dsp:sp modelId="{F54551D9-93E3-496C-A9B0-8034BAC50439}">
      <dsp:nvSpPr>
        <dsp:cNvPr id="0" name=""/>
        <dsp:cNvSpPr/>
      </dsp:nvSpPr>
      <dsp:spPr>
        <a:xfrm>
          <a:off x="18553241" y="1319603"/>
          <a:ext cx="478514" cy="91440"/>
        </a:xfrm>
        <a:custGeom>
          <a:avLst/>
          <a:gdLst/>
          <a:ahLst/>
          <a:cxnLst/>
          <a:rect l="0" t="0" r="0" b="0"/>
          <a:pathLst>
            <a:path>
              <a:moveTo>
                <a:pt x="0" y="45720"/>
              </a:moveTo>
              <a:lnTo>
                <a:pt x="47851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8779771" y="1362778"/>
        <a:ext cx="25455" cy="5091"/>
      </dsp:txXfrm>
    </dsp:sp>
    <dsp:sp modelId="{0963ADED-744C-4DC0-BA04-07599AD301ED}">
      <dsp:nvSpPr>
        <dsp:cNvPr id="0" name=""/>
        <dsp:cNvSpPr/>
      </dsp:nvSpPr>
      <dsp:spPr>
        <a:xfrm>
          <a:off x="16341499" y="701261"/>
          <a:ext cx="2213541" cy="1328125"/>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t" anchorCtr="0">
          <a:noAutofit/>
        </a:bodyPr>
        <a:lstStyle/>
        <a:p>
          <a:pPr marL="0" lvl="0" indent="0" algn="l" defTabSz="533400">
            <a:lnSpc>
              <a:spcPct val="90000"/>
            </a:lnSpc>
            <a:spcBef>
              <a:spcPct val="0"/>
            </a:spcBef>
            <a:spcAft>
              <a:spcPct val="35000"/>
            </a:spcAft>
            <a:buFont typeface="+mj-lt"/>
            <a:buNone/>
          </a:pPr>
          <a:r>
            <a:rPr lang="en-AU" sz="1200" kern="1200">
              <a:solidFill>
                <a:sysClr val="windowText" lastClr="000000"/>
              </a:solidFill>
            </a:rPr>
            <a:t>Step 8: </a:t>
          </a:r>
          <a:r>
            <a:rPr lang="en-AU" sz="1200" b="0" i="0" kern="1200">
              <a:solidFill>
                <a:sysClr val="windowText" lastClr="000000"/>
              </a:solidFill>
            </a:rPr>
            <a:t>BCDR Engineer updates -</a:t>
          </a:r>
          <a:endParaRPr lang="en-AU" sz="1200" kern="1200">
            <a:solidFill>
              <a:sysClr val="windowText" lastClr="000000"/>
            </a:solidFill>
          </a:endParaRPr>
        </a:p>
        <a:p>
          <a:pPr marL="57150" lvl="1" indent="-57150" algn="l" defTabSz="400050">
            <a:lnSpc>
              <a:spcPct val="90000"/>
            </a:lnSpc>
            <a:spcBef>
              <a:spcPct val="0"/>
            </a:spcBef>
            <a:spcAft>
              <a:spcPct val="15000"/>
            </a:spcAft>
            <a:buFont typeface="+mj-lt"/>
            <a:buAutoNum type="arabicPeriod"/>
          </a:pPr>
          <a:r>
            <a:rPr lang="en-AU" sz="900" kern="1200">
              <a:solidFill>
                <a:sysClr val="windowText" lastClr="000000"/>
              </a:solidFill>
            </a:rPr>
            <a:t>Application Business Impact Assessment</a:t>
          </a:r>
        </a:p>
        <a:p>
          <a:pPr marL="57150" lvl="1" indent="-57150" algn="l" defTabSz="400050">
            <a:lnSpc>
              <a:spcPct val="90000"/>
            </a:lnSpc>
            <a:spcBef>
              <a:spcPct val="0"/>
            </a:spcBef>
            <a:spcAft>
              <a:spcPct val="15000"/>
            </a:spcAft>
            <a:buFont typeface="+mj-lt"/>
            <a:buAutoNum type="arabicPeriod"/>
          </a:pPr>
          <a:r>
            <a:rPr lang="en-AU" sz="900" b="0" i="0" kern="1200">
              <a:solidFill>
                <a:sysClr val="windowText" lastClr="000000"/>
              </a:solidFill>
            </a:rPr>
            <a:t>Application Test Plan Summary</a:t>
          </a:r>
          <a:endParaRPr lang="en-AU" sz="900" kern="1200">
            <a:solidFill>
              <a:sysClr val="windowText" lastClr="000000"/>
            </a:solidFill>
          </a:endParaRPr>
        </a:p>
        <a:p>
          <a:pPr marL="57150" lvl="1" indent="-57150" algn="l" defTabSz="400050">
            <a:lnSpc>
              <a:spcPct val="90000"/>
            </a:lnSpc>
            <a:spcBef>
              <a:spcPct val="0"/>
            </a:spcBef>
            <a:spcAft>
              <a:spcPct val="15000"/>
            </a:spcAft>
            <a:buFont typeface="+mj-lt"/>
            <a:buAutoNum type="arabicPeriod"/>
          </a:pPr>
          <a:r>
            <a:rPr lang="en-AU" sz="900" b="0" i="0" kern="1200">
              <a:solidFill>
                <a:sysClr val="windowText" lastClr="000000"/>
              </a:solidFill>
            </a:rPr>
            <a:t>BCDR Dashboard</a:t>
          </a:r>
          <a:endParaRPr lang="en-AU" sz="900" kern="1200">
            <a:solidFill>
              <a:sysClr val="windowText" lastClr="000000"/>
            </a:solidFill>
          </a:endParaRPr>
        </a:p>
      </dsp:txBody>
      <dsp:txXfrm>
        <a:off x="16341499" y="701261"/>
        <a:ext cx="2213541" cy="1328125"/>
      </dsp:txXfrm>
    </dsp:sp>
    <dsp:sp modelId="{42196E1A-2978-48DD-B3C8-02E7E2D4DE1E}">
      <dsp:nvSpPr>
        <dsp:cNvPr id="0" name=""/>
        <dsp:cNvSpPr/>
      </dsp:nvSpPr>
      <dsp:spPr>
        <a:xfrm>
          <a:off x="19064156" y="701261"/>
          <a:ext cx="2213541" cy="1328125"/>
        </a:xfrm>
        <a:prstGeom prst="rect">
          <a:avLst/>
        </a:prstGeom>
        <a:solidFill>
          <a:srgbClr val="00A4EF"/>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t" anchorCtr="0">
          <a:noAutofit/>
        </a:bodyPr>
        <a:lstStyle/>
        <a:p>
          <a:pPr marL="0" lvl="0" indent="0" algn="l" defTabSz="533400">
            <a:lnSpc>
              <a:spcPct val="90000"/>
            </a:lnSpc>
            <a:spcBef>
              <a:spcPct val="0"/>
            </a:spcBef>
            <a:spcAft>
              <a:spcPct val="35000"/>
            </a:spcAft>
            <a:buFont typeface="+mj-lt"/>
            <a:buNone/>
          </a:pPr>
          <a:r>
            <a:rPr lang="en-AU" sz="1200" kern="1200">
              <a:solidFill>
                <a:sysClr val="windowText" lastClr="000000"/>
              </a:solidFill>
            </a:rPr>
            <a:t>Step 9: </a:t>
          </a:r>
          <a:r>
            <a:rPr lang="en-AU" sz="1200" b="0" i="0" kern="1200">
              <a:solidFill>
                <a:sysClr val="windowText" lastClr="000000"/>
              </a:solidFill>
            </a:rPr>
            <a:t>Business Owner review and sign off Test Results on -</a:t>
          </a:r>
          <a:endParaRPr lang="en-AU" sz="1200" kern="1200">
            <a:solidFill>
              <a:sysClr val="windowText" lastClr="000000"/>
            </a:solidFill>
          </a:endParaRPr>
        </a:p>
        <a:p>
          <a:pPr marL="57150" lvl="1" indent="-57150" algn="l" defTabSz="400050">
            <a:lnSpc>
              <a:spcPct val="90000"/>
            </a:lnSpc>
            <a:spcBef>
              <a:spcPct val="0"/>
            </a:spcBef>
            <a:spcAft>
              <a:spcPct val="15000"/>
            </a:spcAft>
            <a:buFont typeface="+mj-lt"/>
            <a:buAutoNum type="arabicPeriod"/>
          </a:pPr>
          <a:r>
            <a:rPr lang="en-AU" sz="900" kern="1200">
              <a:solidFill>
                <a:sysClr val="windowText" lastClr="000000"/>
              </a:solidFill>
            </a:rPr>
            <a:t>Application Business Impact Assessment</a:t>
          </a:r>
        </a:p>
        <a:p>
          <a:pPr marL="57150" lvl="1" indent="-57150" algn="l" defTabSz="400050">
            <a:lnSpc>
              <a:spcPct val="90000"/>
            </a:lnSpc>
            <a:spcBef>
              <a:spcPct val="0"/>
            </a:spcBef>
            <a:spcAft>
              <a:spcPct val="15000"/>
            </a:spcAft>
            <a:buFont typeface="+mj-lt"/>
            <a:buAutoNum type="arabicPeriod"/>
          </a:pPr>
          <a:r>
            <a:rPr lang="en-AU" sz="900" b="0" i="0" kern="1200">
              <a:solidFill>
                <a:sysClr val="windowText" lastClr="000000"/>
              </a:solidFill>
            </a:rPr>
            <a:t>Application Test Plan Summary</a:t>
          </a:r>
          <a:endParaRPr lang="en-AU" sz="900" kern="1200">
            <a:solidFill>
              <a:sysClr val="windowText" lastClr="000000"/>
            </a:solidFill>
          </a:endParaRPr>
        </a:p>
        <a:p>
          <a:pPr marL="57150" lvl="1" indent="-57150" algn="l" defTabSz="400050">
            <a:lnSpc>
              <a:spcPct val="90000"/>
            </a:lnSpc>
            <a:spcBef>
              <a:spcPct val="0"/>
            </a:spcBef>
            <a:spcAft>
              <a:spcPct val="15000"/>
            </a:spcAft>
            <a:buChar char="•"/>
          </a:pPr>
          <a:r>
            <a:rPr lang="en-AU" sz="900" b="0" i="0" kern="1200">
              <a:solidFill>
                <a:sysClr val="windowText" lastClr="000000"/>
              </a:solidFill>
            </a:rPr>
            <a:t>BCDR Dashboard</a:t>
          </a:r>
          <a:endParaRPr lang="en-AU" sz="900" kern="1200"/>
        </a:p>
      </dsp:txBody>
      <dsp:txXfrm>
        <a:off x="19064156" y="701261"/>
        <a:ext cx="2213541" cy="1328125"/>
      </dsp:txXfrm>
    </dsp:sp>
  </dsp:spTree>
</dsp:drawing>
</file>

<file path=xl/diagrams/drawing12.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344182A4-37C0-4E7B-B805-3DEC958888BB}">
      <dsp:nvSpPr>
        <dsp:cNvPr id="0" name=""/>
        <dsp:cNvSpPr/>
      </dsp:nvSpPr>
      <dsp:spPr>
        <a:xfrm>
          <a:off x="4626471" y="929914"/>
          <a:ext cx="712857" cy="91440"/>
        </a:xfrm>
        <a:custGeom>
          <a:avLst/>
          <a:gdLst/>
          <a:ahLst/>
          <a:cxnLst/>
          <a:rect l="0" t="0" r="0" b="0"/>
          <a:pathLst>
            <a:path>
              <a:moveTo>
                <a:pt x="0" y="45720"/>
              </a:moveTo>
              <a:lnTo>
                <a:pt x="712857"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4964313" y="971917"/>
        <a:ext cx="37172" cy="7434"/>
      </dsp:txXfrm>
    </dsp:sp>
    <dsp:sp modelId="{704043AB-80C6-477D-8E81-CB9170335BA3}">
      <dsp:nvSpPr>
        <dsp:cNvPr id="0" name=""/>
        <dsp:cNvSpPr/>
      </dsp:nvSpPr>
      <dsp:spPr>
        <a:xfrm>
          <a:off x="1395849" y="5908"/>
          <a:ext cx="3232421" cy="1939453"/>
        </a:xfrm>
        <a:prstGeom prst="rect">
          <a:avLst/>
        </a:prstGeom>
        <a:solidFill>
          <a:srgbClr val="F2502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28016" tIns="128016" rIns="128016" bIns="128016" numCol="1" spcCol="1270" anchor="ctr" anchorCtr="0">
          <a:noAutofit/>
        </a:bodyPr>
        <a:lstStyle/>
        <a:p>
          <a:pPr marL="0" lvl="0" indent="0" algn="ctr" defTabSz="800100">
            <a:lnSpc>
              <a:spcPct val="90000"/>
            </a:lnSpc>
            <a:spcBef>
              <a:spcPct val="0"/>
            </a:spcBef>
            <a:spcAft>
              <a:spcPct val="35000"/>
            </a:spcAft>
            <a:buFont typeface="+mj-lt"/>
            <a:buNone/>
          </a:pPr>
          <a:r>
            <a:rPr lang="en-AU" sz="1800" b="0" i="0" kern="1200"/>
            <a:t>Step 1: UAT Test Plan is executed in full to validate the current status and duration for each UAT activity</a:t>
          </a:r>
          <a:endParaRPr lang="en-AU" sz="1800" kern="1200"/>
        </a:p>
      </dsp:txBody>
      <dsp:txXfrm>
        <a:off x="1395849" y="5908"/>
        <a:ext cx="3232421" cy="1939453"/>
      </dsp:txXfrm>
    </dsp:sp>
    <dsp:sp modelId="{2966A84D-E75B-4B3C-B9C4-F49CF9BDDF36}">
      <dsp:nvSpPr>
        <dsp:cNvPr id="0" name=""/>
        <dsp:cNvSpPr/>
      </dsp:nvSpPr>
      <dsp:spPr>
        <a:xfrm>
          <a:off x="3024052" y="1943561"/>
          <a:ext cx="3963886" cy="712857"/>
        </a:xfrm>
        <a:custGeom>
          <a:avLst/>
          <a:gdLst/>
          <a:ahLst/>
          <a:cxnLst/>
          <a:rect l="0" t="0" r="0" b="0"/>
          <a:pathLst>
            <a:path>
              <a:moveTo>
                <a:pt x="3963886" y="0"/>
              </a:moveTo>
              <a:lnTo>
                <a:pt x="3963886" y="373528"/>
              </a:lnTo>
              <a:lnTo>
                <a:pt x="0" y="373528"/>
              </a:lnTo>
              <a:lnTo>
                <a:pt x="0" y="712857"/>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4905171" y="2296272"/>
        <a:ext cx="201650" cy="7434"/>
      </dsp:txXfrm>
    </dsp:sp>
    <dsp:sp modelId="{B16DD166-5E53-438B-9BD3-652B3D58548B}">
      <dsp:nvSpPr>
        <dsp:cNvPr id="0" name=""/>
        <dsp:cNvSpPr/>
      </dsp:nvSpPr>
      <dsp:spPr>
        <a:xfrm>
          <a:off x="5371728" y="5908"/>
          <a:ext cx="3232421" cy="1939453"/>
        </a:xfrm>
        <a:prstGeom prst="rect">
          <a:avLst/>
        </a:prstGeom>
        <a:solidFill>
          <a:srgbClr val="FFB9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28016" tIns="128016" rIns="128016" bIns="128016" numCol="1" spcCol="1270" anchor="ctr" anchorCtr="0">
          <a:noAutofit/>
        </a:bodyPr>
        <a:lstStyle/>
        <a:p>
          <a:pPr marL="0" lvl="0" indent="0" algn="ctr" defTabSz="800100">
            <a:lnSpc>
              <a:spcPct val="90000"/>
            </a:lnSpc>
            <a:spcBef>
              <a:spcPct val="0"/>
            </a:spcBef>
            <a:spcAft>
              <a:spcPct val="35000"/>
            </a:spcAft>
            <a:buFont typeface="+mj-lt"/>
            <a:buNone/>
          </a:pPr>
          <a:r>
            <a:rPr lang="en-AU" sz="1800" kern="1200">
              <a:solidFill>
                <a:sysClr val="windowText" lastClr="000000"/>
              </a:solidFill>
            </a:rPr>
            <a:t>Step 2: BCDR Engineer stops Chaos Experiment and starts the app service in the primary region</a:t>
          </a:r>
        </a:p>
      </dsp:txBody>
      <dsp:txXfrm>
        <a:off x="5371728" y="5908"/>
        <a:ext cx="3232421" cy="1939453"/>
      </dsp:txXfrm>
    </dsp:sp>
    <dsp:sp modelId="{4F01D6A2-650C-476D-B4CF-A0A38F1B91C3}">
      <dsp:nvSpPr>
        <dsp:cNvPr id="0" name=""/>
        <dsp:cNvSpPr/>
      </dsp:nvSpPr>
      <dsp:spPr>
        <a:xfrm>
          <a:off x="4638463" y="3612824"/>
          <a:ext cx="700864" cy="91440"/>
        </a:xfrm>
        <a:custGeom>
          <a:avLst/>
          <a:gdLst/>
          <a:ahLst/>
          <a:cxnLst/>
          <a:rect l="0" t="0" r="0" b="0"/>
          <a:pathLst>
            <a:path>
              <a:moveTo>
                <a:pt x="0" y="45720"/>
              </a:moveTo>
              <a:lnTo>
                <a:pt x="700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4970609" y="3654827"/>
        <a:ext cx="36573" cy="7434"/>
      </dsp:txXfrm>
    </dsp:sp>
    <dsp:sp modelId="{83D4C33A-0E81-47D4-8577-BC605B185BBB}">
      <dsp:nvSpPr>
        <dsp:cNvPr id="0" name=""/>
        <dsp:cNvSpPr/>
      </dsp:nvSpPr>
      <dsp:spPr>
        <a:xfrm>
          <a:off x="1407841" y="2688818"/>
          <a:ext cx="3232421" cy="1939453"/>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28016" tIns="128016" rIns="128016" bIns="128016" numCol="1" spcCol="1270" anchor="ctr" anchorCtr="0">
          <a:noAutofit/>
        </a:bodyPr>
        <a:lstStyle/>
        <a:p>
          <a:pPr marL="0" lvl="0" indent="0" algn="ctr" defTabSz="800100">
            <a:lnSpc>
              <a:spcPct val="90000"/>
            </a:lnSpc>
            <a:spcBef>
              <a:spcPct val="0"/>
            </a:spcBef>
            <a:spcAft>
              <a:spcPct val="35000"/>
            </a:spcAft>
            <a:buFont typeface="+mj-lt"/>
            <a:buNone/>
          </a:pPr>
          <a:r>
            <a:rPr lang="en-AU" sz="1800" b="0" i="0" kern="1200">
              <a:solidFill>
                <a:sysClr val="windowText" lastClr="000000"/>
              </a:solidFill>
            </a:rPr>
            <a:t>Step 3: UAT Test Plan is executed again in full to validate the failed back status and duration for each step</a:t>
          </a:r>
          <a:endParaRPr lang="en-AU" sz="1800" kern="1200">
            <a:solidFill>
              <a:sysClr val="windowText" lastClr="000000"/>
            </a:solidFill>
          </a:endParaRPr>
        </a:p>
      </dsp:txBody>
      <dsp:txXfrm>
        <a:off x="1407841" y="2688818"/>
        <a:ext cx="3232421" cy="1939453"/>
      </dsp:txXfrm>
    </dsp:sp>
    <dsp:sp modelId="{19B66FC7-EC42-4328-B797-0B6E07513D9F}">
      <dsp:nvSpPr>
        <dsp:cNvPr id="0" name=""/>
        <dsp:cNvSpPr/>
      </dsp:nvSpPr>
      <dsp:spPr>
        <a:xfrm>
          <a:off x="3012060" y="4626471"/>
          <a:ext cx="3975878" cy="712857"/>
        </a:xfrm>
        <a:custGeom>
          <a:avLst/>
          <a:gdLst/>
          <a:ahLst/>
          <a:cxnLst/>
          <a:rect l="0" t="0" r="0" b="0"/>
          <a:pathLst>
            <a:path>
              <a:moveTo>
                <a:pt x="3975878" y="0"/>
              </a:moveTo>
              <a:lnTo>
                <a:pt x="3975878" y="373528"/>
              </a:lnTo>
              <a:lnTo>
                <a:pt x="0" y="373528"/>
              </a:lnTo>
              <a:lnTo>
                <a:pt x="0" y="712857"/>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4898880" y="4979182"/>
        <a:ext cx="202239" cy="7434"/>
      </dsp:txXfrm>
    </dsp:sp>
    <dsp:sp modelId="{BAFA43E4-F415-4A6D-A0D4-03DA9964343C}">
      <dsp:nvSpPr>
        <dsp:cNvPr id="0" name=""/>
        <dsp:cNvSpPr/>
      </dsp:nvSpPr>
      <dsp:spPr>
        <a:xfrm>
          <a:off x="5371728" y="2688818"/>
          <a:ext cx="3232421" cy="1939453"/>
        </a:xfrm>
        <a:prstGeom prst="rect">
          <a:avLst/>
        </a:prstGeom>
        <a:solidFill>
          <a:srgbClr val="00A4EF"/>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28016" tIns="128016" rIns="128016" bIns="128016" numCol="1" spcCol="1270" anchor="ctr" anchorCtr="0">
          <a:noAutofit/>
        </a:bodyPr>
        <a:lstStyle/>
        <a:p>
          <a:pPr marL="0" lvl="0" indent="0" algn="ctr" defTabSz="800100">
            <a:lnSpc>
              <a:spcPct val="90000"/>
            </a:lnSpc>
            <a:spcBef>
              <a:spcPct val="0"/>
            </a:spcBef>
            <a:spcAft>
              <a:spcPct val="35000"/>
            </a:spcAft>
            <a:buFont typeface="+mj-lt"/>
            <a:buNone/>
          </a:pPr>
          <a:r>
            <a:rPr lang="en-AU" sz="1800" kern="1200">
              <a:solidFill>
                <a:sysClr val="windowText" lastClr="000000"/>
              </a:solidFill>
            </a:rPr>
            <a:t>Step 4: BCDR Engineer confirms that App Service in the primary region is online and accepting traffic</a:t>
          </a:r>
        </a:p>
      </dsp:txBody>
      <dsp:txXfrm>
        <a:off x="5371728" y="2688818"/>
        <a:ext cx="3232421" cy="1939453"/>
      </dsp:txXfrm>
    </dsp:sp>
    <dsp:sp modelId="{94A73431-F3C7-4819-90A6-2DA23EEB8498}">
      <dsp:nvSpPr>
        <dsp:cNvPr id="0" name=""/>
        <dsp:cNvSpPr/>
      </dsp:nvSpPr>
      <dsp:spPr>
        <a:xfrm>
          <a:off x="4626471" y="6295735"/>
          <a:ext cx="712857" cy="91440"/>
        </a:xfrm>
        <a:custGeom>
          <a:avLst/>
          <a:gdLst/>
          <a:ahLst/>
          <a:cxnLst/>
          <a:rect l="0" t="0" r="0" b="0"/>
          <a:pathLst>
            <a:path>
              <a:moveTo>
                <a:pt x="0" y="45720"/>
              </a:moveTo>
              <a:lnTo>
                <a:pt x="712857"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4964313" y="6337737"/>
        <a:ext cx="37172" cy="7434"/>
      </dsp:txXfrm>
    </dsp:sp>
    <dsp:sp modelId="{5E4B7EDF-777B-4B09-A4FC-3229534D87F0}">
      <dsp:nvSpPr>
        <dsp:cNvPr id="0" name=""/>
        <dsp:cNvSpPr/>
      </dsp:nvSpPr>
      <dsp:spPr>
        <a:xfrm>
          <a:off x="1395849" y="5371728"/>
          <a:ext cx="3232421" cy="1939453"/>
        </a:xfrm>
        <a:prstGeom prst="rect">
          <a:avLst/>
        </a:prstGeom>
        <a:solidFill>
          <a:srgbClr val="F2502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28016" tIns="128016" rIns="128016" bIns="128016" numCol="1" spcCol="1270" anchor="ctr" anchorCtr="0">
          <a:noAutofit/>
        </a:bodyPr>
        <a:lstStyle/>
        <a:p>
          <a:pPr marL="0" lvl="0" indent="0" algn="ctr" defTabSz="800100">
            <a:lnSpc>
              <a:spcPct val="90000"/>
            </a:lnSpc>
            <a:spcBef>
              <a:spcPct val="0"/>
            </a:spcBef>
            <a:spcAft>
              <a:spcPct val="35000"/>
            </a:spcAft>
            <a:buFont typeface="+mj-lt"/>
            <a:buNone/>
          </a:pPr>
          <a:r>
            <a:rPr lang="en-AU" sz="1800" kern="1200">
              <a:solidFill>
                <a:schemeClr val="bg1"/>
              </a:solidFill>
            </a:rPr>
            <a:t>Step 5: BCDR Engineer confirms that Front Door is now routing traffic back to the primary region</a:t>
          </a:r>
        </a:p>
      </dsp:txBody>
      <dsp:txXfrm>
        <a:off x="1395849" y="5371728"/>
        <a:ext cx="3232421" cy="1939453"/>
      </dsp:txXfrm>
    </dsp:sp>
    <dsp:sp modelId="{7AE3D2AF-4DD2-4A44-A10F-678EB38391DD}">
      <dsp:nvSpPr>
        <dsp:cNvPr id="0" name=""/>
        <dsp:cNvSpPr/>
      </dsp:nvSpPr>
      <dsp:spPr>
        <a:xfrm>
          <a:off x="3012060" y="7309381"/>
          <a:ext cx="3975878" cy="712857"/>
        </a:xfrm>
        <a:custGeom>
          <a:avLst/>
          <a:gdLst/>
          <a:ahLst/>
          <a:cxnLst/>
          <a:rect l="0" t="0" r="0" b="0"/>
          <a:pathLst>
            <a:path>
              <a:moveTo>
                <a:pt x="3975878" y="0"/>
              </a:moveTo>
              <a:lnTo>
                <a:pt x="3975878" y="373528"/>
              </a:lnTo>
              <a:lnTo>
                <a:pt x="0" y="373528"/>
              </a:lnTo>
              <a:lnTo>
                <a:pt x="0" y="712857"/>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4898880" y="7662092"/>
        <a:ext cx="202239" cy="7434"/>
      </dsp:txXfrm>
    </dsp:sp>
    <dsp:sp modelId="{C6C4C6BC-07FD-4207-A427-7104B71C5972}">
      <dsp:nvSpPr>
        <dsp:cNvPr id="0" name=""/>
        <dsp:cNvSpPr/>
      </dsp:nvSpPr>
      <dsp:spPr>
        <a:xfrm>
          <a:off x="5371728" y="5371728"/>
          <a:ext cx="3232421" cy="1939453"/>
        </a:xfrm>
        <a:prstGeom prst="rect">
          <a:avLst/>
        </a:prstGeom>
        <a:solidFill>
          <a:srgbClr val="FFB9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28016" tIns="128016" rIns="128016" bIns="128016" numCol="1" spcCol="1270" anchor="ctr" anchorCtr="0">
          <a:noAutofit/>
        </a:bodyPr>
        <a:lstStyle/>
        <a:p>
          <a:pPr marL="0" lvl="0" indent="0" algn="ctr" defTabSz="800100">
            <a:lnSpc>
              <a:spcPct val="90000"/>
            </a:lnSpc>
            <a:spcBef>
              <a:spcPct val="0"/>
            </a:spcBef>
            <a:spcAft>
              <a:spcPct val="35000"/>
            </a:spcAft>
            <a:buFont typeface="+mj-lt"/>
            <a:buNone/>
          </a:pPr>
          <a:r>
            <a:rPr lang="en-AU" sz="1800" kern="1200">
              <a:solidFill>
                <a:sysClr val="windowText" lastClr="000000"/>
              </a:solidFill>
            </a:rPr>
            <a:t>Step 7: BCDR Engineer reviews monitoring data during the test and compares it with an established baseline</a:t>
          </a:r>
        </a:p>
      </dsp:txBody>
      <dsp:txXfrm>
        <a:off x="5371728" y="5371728"/>
        <a:ext cx="3232421" cy="1939453"/>
      </dsp:txXfrm>
    </dsp:sp>
    <dsp:sp modelId="{F54551D9-93E3-496C-A9B0-8034BAC50439}">
      <dsp:nvSpPr>
        <dsp:cNvPr id="0" name=""/>
        <dsp:cNvSpPr/>
      </dsp:nvSpPr>
      <dsp:spPr>
        <a:xfrm>
          <a:off x="4626471" y="8978645"/>
          <a:ext cx="712857" cy="91440"/>
        </a:xfrm>
        <a:custGeom>
          <a:avLst/>
          <a:gdLst/>
          <a:ahLst/>
          <a:cxnLst/>
          <a:rect l="0" t="0" r="0" b="0"/>
          <a:pathLst>
            <a:path>
              <a:moveTo>
                <a:pt x="0" y="45720"/>
              </a:moveTo>
              <a:lnTo>
                <a:pt x="712857"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4964313" y="9020647"/>
        <a:ext cx="37172" cy="7434"/>
      </dsp:txXfrm>
    </dsp:sp>
    <dsp:sp modelId="{0963ADED-744C-4DC0-BA04-07599AD301ED}">
      <dsp:nvSpPr>
        <dsp:cNvPr id="0" name=""/>
        <dsp:cNvSpPr/>
      </dsp:nvSpPr>
      <dsp:spPr>
        <a:xfrm>
          <a:off x="1395849" y="8054638"/>
          <a:ext cx="3232421" cy="1939453"/>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28016" tIns="128016" rIns="128016" bIns="128016" numCol="1" spcCol="1270" anchor="t" anchorCtr="0">
          <a:noAutofit/>
        </a:bodyPr>
        <a:lstStyle/>
        <a:p>
          <a:pPr marL="0" lvl="0" indent="0" algn="l" defTabSz="800100">
            <a:lnSpc>
              <a:spcPct val="90000"/>
            </a:lnSpc>
            <a:spcBef>
              <a:spcPct val="0"/>
            </a:spcBef>
            <a:spcAft>
              <a:spcPct val="35000"/>
            </a:spcAft>
            <a:buFont typeface="+mj-lt"/>
            <a:buNone/>
          </a:pPr>
          <a:r>
            <a:rPr lang="en-AU" sz="1800" kern="1200">
              <a:solidFill>
                <a:sysClr val="windowText" lastClr="000000"/>
              </a:solidFill>
            </a:rPr>
            <a:t>Step 8: </a:t>
          </a:r>
          <a:r>
            <a:rPr lang="en-AU" sz="1800" b="0" i="0" kern="1200">
              <a:solidFill>
                <a:sysClr val="windowText" lastClr="000000"/>
              </a:solidFill>
            </a:rPr>
            <a:t>BCDR Engineer updates -</a:t>
          </a:r>
          <a:endParaRPr lang="en-AU" sz="1800" kern="1200">
            <a:solidFill>
              <a:sysClr val="windowText" lastClr="000000"/>
            </a:solidFill>
          </a:endParaRPr>
        </a:p>
        <a:p>
          <a:pPr marL="114300" lvl="1" indent="-114300" algn="l" defTabSz="622300">
            <a:lnSpc>
              <a:spcPct val="90000"/>
            </a:lnSpc>
            <a:spcBef>
              <a:spcPct val="0"/>
            </a:spcBef>
            <a:spcAft>
              <a:spcPct val="15000"/>
            </a:spcAft>
            <a:buFont typeface="+mj-lt"/>
            <a:buAutoNum type="arabicPeriod"/>
          </a:pPr>
          <a:r>
            <a:rPr lang="en-AU" sz="1400" kern="1200">
              <a:solidFill>
                <a:sysClr val="windowText" lastClr="000000"/>
              </a:solidFill>
            </a:rPr>
            <a:t>Application Business Impact Assessment</a:t>
          </a:r>
        </a:p>
        <a:p>
          <a:pPr marL="114300" lvl="1" indent="-114300" algn="l" defTabSz="622300">
            <a:lnSpc>
              <a:spcPct val="90000"/>
            </a:lnSpc>
            <a:spcBef>
              <a:spcPct val="0"/>
            </a:spcBef>
            <a:spcAft>
              <a:spcPct val="15000"/>
            </a:spcAft>
            <a:buFont typeface="+mj-lt"/>
            <a:buAutoNum type="arabicPeriod"/>
          </a:pPr>
          <a:r>
            <a:rPr lang="en-AU" sz="1400" b="0" i="0" kern="1200">
              <a:solidFill>
                <a:sysClr val="windowText" lastClr="000000"/>
              </a:solidFill>
            </a:rPr>
            <a:t>Application Test Plan Summary</a:t>
          </a:r>
          <a:endParaRPr lang="en-AU" sz="1400" kern="1200">
            <a:solidFill>
              <a:sysClr val="windowText" lastClr="000000"/>
            </a:solidFill>
          </a:endParaRPr>
        </a:p>
        <a:p>
          <a:pPr marL="114300" lvl="1" indent="-114300" algn="l" defTabSz="622300">
            <a:lnSpc>
              <a:spcPct val="90000"/>
            </a:lnSpc>
            <a:spcBef>
              <a:spcPct val="0"/>
            </a:spcBef>
            <a:spcAft>
              <a:spcPct val="15000"/>
            </a:spcAft>
            <a:buFont typeface="+mj-lt"/>
            <a:buAutoNum type="arabicPeriod"/>
          </a:pPr>
          <a:r>
            <a:rPr lang="en-AU" sz="1400" b="0" i="0" kern="1200">
              <a:solidFill>
                <a:sysClr val="windowText" lastClr="000000"/>
              </a:solidFill>
            </a:rPr>
            <a:t>BCDR Dashboard</a:t>
          </a:r>
          <a:endParaRPr lang="en-AU" sz="1400" kern="1200">
            <a:solidFill>
              <a:sysClr val="windowText" lastClr="000000"/>
            </a:solidFill>
          </a:endParaRPr>
        </a:p>
      </dsp:txBody>
      <dsp:txXfrm>
        <a:off x="1395849" y="8054638"/>
        <a:ext cx="3232421" cy="1939453"/>
      </dsp:txXfrm>
    </dsp:sp>
    <dsp:sp modelId="{42196E1A-2978-48DD-B3C8-02E7E2D4DE1E}">
      <dsp:nvSpPr>
        <dsp:cNvPr id="0" name=""/>
        <dsp:cNvSpPr/>
      </dsp:nvSpPr>
      <dsp:spPr>
        <a:xfrm>
          <a:off x="5371728" y="8054638"/>
          <a:ext cx="3232421" cy="1939453"/>
        </a:xfrm>
        <a:prstGeom prst="rect">
          <a:avLst/>
        </a:prstGeom>
        <a:solidFill>
          <a:srgbClr val="00A4EF"/>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28016" tIns="128016" rIns="128016" bIns="128016" numCol="1" spcCol="1270" anchor="t" anchorCtr="0">
          <a:noAutofit/>
        </a:bodyPr>
        <a:lstStyle/>
        <a:p>
          <a:pPr marL="0" lvl="0" indent="0" algn="l" defTabSz="800100">
            <a:lnSpc>
              <a:spcPct val="90000"/>
            </a:lnSpc>
            <a:spcBef>
              <a:spcPct val="0"/>
            </a:spcBef>
            <a:spcAft>
              <a:spcPct val="35000"/>
            </a:spcAft>
            <a:buFont typeface="+mj-lt"/>
            <a:buNone/>
          </a:pPr>
          <a:r>
            <a:rPr lang="en-AU" sz="1800" kern="1200">
              <a:solidFill>
                <a:sysClr val="windowText" lastClr="000000"/>
              </a:solidFill>
            </a:rPr>
            <a:t>Step 9: </a:t>
          </a:r>
          <a:r>
            <a:rPr lang="en-AU" sz="1800" b="0" i="0" kern="1200">
              <a:solidFill>
                <a:sysClr val="windowText" lastClr="000000"/>
              </a:solidFill>
            </a:rPr>
            <a:t>Business Owner review and sign off Test Results on -</a:t>
          </a:r>
          <a:endParaRPr lang="en-AU" sz="1800" kern="1200">
            <a:solidFill>
              <a:sysClr val="windowText" lastClr="000000"/>
            </a:solidFill>
          </a:endParaRPr>
        </a:p>
        <a:p>
          <a:pPr marL="114300" lvl="1" indent="-114300" algn="l" defTabSz="622300">
            <a:lnSpc>
              <a:spcPct val="90000"/>
            </a:lnSpc>
            <a:spcBef>
              <a:spcPct val="0"/>
            </a:spcBef>
            <a:spcAft>
              <a:spcPct val="15000"/>
            </a:spcAft>
            <a:buFont typeface="+mj-lt"/>
            <a:buAutoNum type="arabicPeriod"/>
          </a:pPr>
          <a:r>
            <a:rPr lang="en-AU" sz="1400" kern="1200">
              <a:solidFill>
                <a:sysClr val="windowText" lastClr="000000"/>
              </a:solidFill>
            </a:rPr>
            <a:t>Application Business Impact Assessment</a:t>
          </a:r>
        </a:p>
        <a:p>
          <a:pPr marL="114300" lvl="1" indent="-114300" algn="l" defTabSz="622300">
            <a:lnSpc>
              <a:spcPct val="90000"/>
            </a:lnSpc>
            <a:spcBef>
              <a:spcPct val="0"/>
            </a:spcBef>
            <a:spcAft>
              <a:spcPct val="15000"/>
            </a:spcAft>
            <a:buFont typeface="+mj-lt"/>
            <a:buAutoNum type="arabicPeriod"/>
          </a:pPr>
          <a:r>
            <a:rPr lang="en-AU" sz="1400" b="0" i="0" kern="1200">
              <a:solidFill>
                <a:sysClr val="windowText" lastClr="000000"/>
              </a:solidFill>
            </a:rPr>
            <a:t>Application Test Plan Summary</a:t>
          </a:r>
          <a:endParaRPr lang="en-AU" sz="1400" kern="1200">
            <a:solidFill>
              <a:sysClr val="windowText" lastClr="000000"/>
            </a:solidFill>
          </a:endParaRPr>
        </a:p>
        <a:p>
          <a:pPr marL="114300" lvl="1" indent="-114300" algn="l" defTabSz="622300">
            <a:lnSpc>
              <a:spcPct val="90000"/>
            </a:lnSpc>
            <a:spcBef>
              <a:spcPct val="0"/>
            </a:spcBef>
            <a:spcAft>
              <a:spcPct val="15000"/>
            </a:spcAft>
            <a:buChar char="•"/>
          </a:pPr>
          <a:r>
            <a:rPr lang="en-AU" sz="1400" b="0" i="0" kern="1200">
              <a:solidFill>
                <a:sysClr val="windowText" lastClr="000000"/>
              </a:solidFill>
            </a:rPr>
            <a:t>BCDR Dashboard</a:t>
          </a:r>
          <a:endParaRPr lang="en-AU" sz="1400" kern="1200"/>
        </a:p>
      </dsp:txBody>
      <dsp:txXfrm>
        <a:off x="5371728" y="8054638"/>
        <a:ext cx="3232421" cy="1939453"/>
      </dsp:txXfrm>
    </dsp:sp>
  </dsp:spTree>
</dsp:drawing>
</file>

<file path=xl/diagrams/drawing13.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391EA52-A615-459E-9CD7-8535D06BF784}">
      <dsp:nvSpPr>
        <dsp:cNvPr id="0" name=""/>
        <dsp:cNvSpPr/>
      </dsp:nvSpPr>
      <dsp:spPr>
        <a:xfrm>
          <a:off x="2218828" y="795248"/>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2445524" y="838420"/>
        <a:ext cx="25473" cy="5094"/>
      </dsp:txXfrm>
    </dsp:sp>
    <dsp:sp modelId="{ACC8E42D-EEB9-4F87-BED3-C671F5D3D992}">
      <dsp:nvSpPr>
        <dsp:cNvPr id="0" name=""/>
        <dsp:cNvSpPr/>
      </dsp:nvSpPr>
      <dsp:spPr>
        <a:xfrm>
          <a:off x="5563" y="176448"/>
          <a:ext cx="2215064" cy="1329038"/>
        </a:xfrm>
        <a:prstGeom prst="rect">
          <a:avLst/>
        </a:prstGeom>
        <a:solidFill>
          <a:srgbClr val="F2502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kern="1200"/>
            <a:t>Step 1: UAT Tester confirms application monitoring is active</a:t>
          </a:r>
        </a:p>
      </dsp:txBody>
      <dsp:txXfrm>
        <a:off x="5563" y="176448"/>
        <a:ext cx="2215064" cy="1329038"/>
      </dsp:txXfrm>
    </dsp:sp>
    <dsp:sp modelId="{344182A4-37C0-4E7B-B805-3DEC958888BB}">
      <dsp:nvSpPr>
        <dsp:cNvPr id="0" name=""/>
        <dsp:cNvSpPr/>
      </dsp:nvSpPr>
      <dsp:spPr>
        <a:xfrm>
          <a:off x="4943358" y="795248"/>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5170053" y="838420"/>
        <a:ext cx="25473" cy="5094"/>
      </dsp:txXfrm>
    </dsp:sp>
    <dsp:sp modelId="{704043AB-80C6-477D-8E81-CB9170335BA3}">
      <dsp:nvSpPr>
        <dsp:cNvPr id="0" name=""/>
        <dsp:cNvSpPr/>
      </dsp:nvSpPr>
      <dsp:spPr>
        <a:xfrm>
          <a:off x="2730093" y="176448"/>
          <a:ext cx="2215064" cy="1329038"/>
        </a:xfrm>
        <a:prstGeom prst="rect">
          <a:avLst/>
        </a:prstGeom>
        <a:solidFill>
          <a:srgbClr val="F2502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t>Step 2: UAT Tester visits the Trip Scheduler web page</a:t>
          </a:r>
          <a:br>
            <a:rPr lang="en-AU" sz="1200" b="0" i="0" kern="1200"/>
          </a:br>
          <a:r>
            <a:rPr lang="en-AU" sz="1200" b="0" i="0" kern="1200"/>
            <a:t>(&lt;URL&gt;)</a:t>
          </a:r>
          <a:endParaRPr lang="en-AU" sz="1200" kern="1200"/>
        </a:p>
      </dsp:txBody>
      <dsp:txXfrm>
        <a:off x="2730093" y="176448"/>
        <a:ext cx="2215064" cy="1329038"/>
      </dsp:txXfrm>
    </dsp:sp>
    <dsp:sp modelId="{6290AEE2-69DA-4AC1-9265-FAB645416B19}">
      <dsp:nvSpPr>
        <dsp:cNvPr id="0" name=""/>
        <dsp:cNvSpPr/>
      </dsp:nvSpPr>
      <dsp:spPr>
        <a:xfrm>
          <a:off x="7667887" y="795248"/>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7894583" y="838420"/>
        <a:ext cx="25473" cy="5094"/>
      </dsp:txXfrm>
    </dsp:sp>
    <dsp:sp modelId="{A8D02A4F-A4AA-4A83-A8CE-9837F2F6BCA4}">
      <dsp:nvSpPr>
        <dsp:cNvPr id="0" name=""/>
        <dsp:cNvSpPr/>
      </dsp:nvSpPr>
      <dsp:spPr>
        <a:xfrm>
          <a:off x="5454623" y="176448"/>
          <a:ext cx="2215064" cy="1329038"/>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solidFill>
                <a:sysClr val="windowText" lastClr="000000"/>
              </a:solidFill>
            </a:rPr>
            <a:t>Step 3: UAT Tester browses through the trips</a:t>
          </a:r>
        </a:p>
      </dsp:txBody>
      <dsp:txXfrm>
        <a:off x="5454623" y="176448"/>
        <a:ext cx="2215064" cy="1329038"/>
      </dsp:txXfrm>
    </dsp:sp>
    <dsp:sp modelId="{EA412E62-05BF-4FC0-A001-70ECC47B22FB}">
      <dsp:nvSpPr>
        <dsp:cNvPr id="0" name=""/>
        <dsp:cNvSpPr/>
      </dsp:nvSpPr>
      <dsp:spPr>
        <a:xfrm>
          <a:off x="10392417" y="795248"/>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0619113" y="838420"/>
        <a:ext cx="25473" cy="5094"/>
      </dsp:txXfrm>
    </dsp:sp>
    <dsp:sp modelId="{8FE70C34-5354-498D-A334-96CA65F1A1B6}">
      <dsp:nvSpPr>
        <dsp:cNvPr id="0" name=""/>
        <dsp:cNvSpPr/>
      </dsp:nvSpPr>
      <dsp:spPr>
        <a:xfrm>
          <a:off x="8179152" y="176448"/>
          <a:ext cx="2215064" cy="1329038"/>
        </a:xfrm>
        <a:prstGeom prst="rect">
          <a:avLst/>
        </a:prstGeom>
        <a:solidFill>
          <a:srgbClr val="FFB9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solidFill>
                <a:sysClr val="windowText" lastClr="000000"/>
              </a:solidFill>
            </a:rPr>
            <a:t>Step 4: UAT Tester selects a trip</a:t>
          </a:r>
        </a:p>
      </dsp:txBody>
      <dsp:txXfrm>
        <a:off x="8179152" y="176448"/>
        <a:ext cx="2215064" cy="1329038"/>
      </dsp:txXfrm>
    </dsp:sp>
    <dsp:sp modelId="{60F1EB0B-1117-46A3-923C-782E5B074CCE}">
      <dsp:nvSpPr>
        <dsp:cNvPr id="0" name=""/>
        <dsp:cNvSpPr/>
      </dsp:nvSpPr>
      <dsp:spPr>
        <a:xfrm>
          <a:off x="13116947" y="795248"/>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3343643" y="838420"/>
        <a:ext cx="25473" cy="5094"/>
      </dsp:txXfrm>
    </dsp:sp>
    <dsp:sp modelId="{DD05FBC9-2CC2-4E02-8EA7-D7B60695FF0B}">
      <dsp:nvSpPr>
        <dsp:cNvPr id="0" name=""/>
        <dsp:cNvSpPr/>
      </dsp:nvSpPr>
      <dsp:spPr>
        <a:xfrm>
          <a:off x="10903682" y="176448"/>
          <a:ext cx="2215064" cy="1329038"/>
        </a:xfrm>
        <a:prstGeom prst="rect">
          <a:avLst/>
        </a:prstGeom>
        <a:solidFill>
          <a:srgbClr val="00A4EF"/>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t>Step 5: UAT Tester adds the trip to their cart</a:t>
          </a:r>
        </a:p>
      </dsp:txBody>
      <dsp:txXfrm>
        <a:off x="10903682" y="176448"/>
        <a:ext cx="2215064" cy="1329038"/>
      </dsp:txXfrm>
    </dsp:sp>
    <dsp:sp modelId="{AA191DFB-4CFC-470F-8F23-9319E28C08FE}">
      <dsp:nvSpPr>
        <dsp:cNvPr id="0" name=""/>
        <dsp:cNvSpPr/>
      </dsp:nvSpPr>
      <dsp:spPr>
        <a:xfrm>
          <a:off x="15841476" y="795248"/>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6068172" y="838420"/>
        <a:ext cx="25473" cy="5094"/>
      </dsp:txXfrm>
    </dsp:sp>
    <dsp:sp modelId="{758BBAB1-A8E3-4FB8-8E8A-6233548F9DC3}">
      <dsp:nvSpPr>
        <dsp:cNvPr id="0" name=""/>
        <dsp:cNvSpPr/>
      </dsp:nvSpPr>
      <dsp:spPr>
        <a:xfrm>
          <a:off x="13628212" y="176448"/>
          <a:ext cx="2215064" cy="1329038"/>
        </a:xfrm>
        <a:prstGeom prst="rect">
          <a:avLst/>
        </a:prstGeom>
        <a:solidFill>
          <a:srgbClr val="F2502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t>Step 6: UAT Tester proceeds to checkout</a:t>
          </a:r>
        </a:p>
      </dsp:txBody>
      <dsp:txXfrm>
        <a:off x="13628212" y="176448"/>
        <a:ext cx="2215064" cy="1329038"/>
      </dsp:txXfrm>
    </dsp:sp>
    <dsp:sp modelId="{3C5751A7-059D-4025-AB5B-E9DFD2E8E7B4}">
      <dsp:nvSpPr>
        <dsp:cNvPr id="0" name=""/>
        <dsp:cNvSpPr/>
      </dsp:nvSpPr>
      <dsp:spPr>
        <a:xfrm>
          <a:off x="18566006" y="795248"/>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8792702" y="838420"/>
        <a:ext cx="25473" cy="5094"/>
      </dsp:txXfrm>
    </dsp:sp>
    <dsp:sp modelId="{18693BE2-9DAF-4D18-B83F-BF5E9526A81C}">
      <dsp:nvSpPr>
        <dsp:cNvPr id="0" name=""/>
        <dsp:cNvSpPr/>
      </dsp:nvSpPr>
      <dsp:spPr>
        <a:xfrm>
          <a:off x="16352741" y="176448"/>
          <a:ext cx="2215064" cy="1329038"/>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solidFill>
                <a:sysClr val="windowText" lastClr="000000"/>
              </a:solidFill>
            </a:rPr>
            <a:t>Step 7:  UAT Tester fills in sample billing and shipping information and enters "UAT" into the name field</a:t>
          </a:r>
        </a:p>
      </dsp:txBody>
      <dsp:txXfrm>
        <a:off x="16352741" y="176448"/>
        <a:ext cx="2215064" cy="1329038"/>
      </dsp:txXfrm>
    </dsp:sp>
    <dsp:sp modelId="{F312038E-887E-40D6-8CB3-9C40DA1131EE}">
      <dsp:nvSpPr>
        <dsp:cNvPr id="0" name=""/>
        <dsp:cNvSpPr/>
      </dsp:nvSpPr>
      <dsp:spPr>
        <a:xfrm>
          <a:off x="1113096" y="1503687"/>
          <a:ext cx="19071707" cy="478864"/>
        </a:xfrm>
        <a:custGeom>
          <a:avLst/>
          <a:gdLst/>
          <a:ahLst/>
          <a:cxnLst/>
          <a:rect l="0" t="0" r="0" b="0"/>
          <a:pathLst>
            <a:path>
              <a:moveTo>
                <a:pt x="19071707" y="0"/>
              </a:moveTo>
              <a:lnTo>
                <a:pt x="19071707" y="256532"/>
              </a:lnTo>
              <a:lnTo>
                <a:pt x="0" y="256532"/>
              </a:lnTo>
              <a:lnTo>
                <a:pt x="0" y="478864"/>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0171987" y="1740572"/>
        <a:ext cx="953925" cy="5094"/>
      </dsp:txXfrm>
    </dsp:sp>
    <dsp:sp modelId="{19535580-3372-4D73-A164-792C15ACFC5D}">
      <dsp:nvSpPr>
        <dsp:cNvPr id="0" name=""/>
        <dsp:cNvSpPr/>
      </dsp:nvSpPr>
      <dsp:spPr>
        <a:xfrm>
          <a:off x="19077271" y="176448"/>
          <a:ext cx="2215064" cy="1329038"/>
        </a:xfrm>
        <a:prstGeom prst="rect">
          <a:avLst/>
        </a:prstGeom>
        <a:solidFill>
          <a:srgbClr val="FFB9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solidFill>
                <a:sysClr val="windowText" lastClr="000000"/>
              </a:solidFill>
            </a:rPr>
            <a:t>Step 8: UAT Tester selects the 'UAT' payment method</a:t>
          </a:r>
        </a:p>
      </dsp:txBody>
      <dsp:txXfrm>
        <a:off x="19077271" y="176448"/>
        <a:ext cx="2215064" cy="1329038"/>
      </dsp:txXfrm>
    </dsp:sp>
    <dsp:sp modelId="{75676218-E7B7-41F7-8941-C4582E7BA379}">
      <dsp:nvSpPr>
        <dsp:cNvPr id="0" name=""/>
        <dsp:cNvSpPr/>
      </dsp:nvSpPr>
      <dsp:spPr>
        <a:xfrm>
          <a:off x="2218828" y="2633751"/>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2445524" y="2676924"/>
        <a:ext cx="25473" cy="5094"/>
      </dsp:txXfrm>
    </dsp:sp>
    <dsp:sp modelId="{1EB5E797-AE5B-46F0-949B-DA2B0FC96ACA}">
      <dsp:nvSpPr>
        <dsp:cNvPr id="0" name=""/>
        <dsp:cNvSpPr/>
      </dsp:nvSpPr>
      <dsp:spPr>
        <a:xfrm>
          <a:off x="5563" y="2014952"/>
          <a:ext cx="2215064" cy="1329038"/>
        </a:xfrm>
        <a:prstGeom prst="rect">
          <a:avLst/>
        </a:prstGeom>
        <a:solidFill>
          <a:srgbClr val="00A4EF"/>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t>Step 9: UAT Tester reviews their order</a:t>
          </a:r>
        </a:p>
      </dsp:txBody>
      <dsp:txXfrm>
        <a:off x="5563" y="2014952"/>
        <a:ext cx="2215064" cy="1329038"/>
      </dsp:txXfrm>
    </dsp:sp>
    <dsp:sp modelId="{96A14EF0-EF38-4F18-9903-E3AE05EF1E14}">
      <dsp:nvSpPr>
        <dsp:cNvPr id="0" name=""/>
        <dsp:cNvSpPr/>
      </dsp:nvSpPr>
      <dsp:spPr>
        <a:xfrm>
          <a:off x="4943358" y="2633751"/>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5170053" y="2676924"/>
        <a:ext cx="25473" cy="5094"/>
      </dsp:txXfrm>
    </dsp:sp>
    <dsp:sp modelId="{A038DAA0-3CAA-4621-A924-01B4F13549DA}">
      <dsp:nvSpPr>
        <dsp:cNvPr id="0" name=""/>
        <dsp:cNvSpPr/>
      </dsp:nvSpPr>
      <dsp:spPr>
        <a:xfrm>
          <a:off x="2730093" y="2014952"/>
          <a:ext cx="2215064" cy="1329038"/>
        </a:xfrm>
        <a:prstGeom prst="rect">
          <a:avLst/>
        </a:prstGeom>
        <a:solidFill>
          <a:srgbClr val="F2502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t>Step 10: UAT Tester confirms their order</a:t>
          </a:r>
        </a:p>
      </dsp:txBody>
      <dsp:txXfrm>
        <a:off x="2730093" y="2014952"/>
        <a:ext cx="2215064" cy="1329038"/>
      </dsp:txXfrm>
    </dsp:sp>
    <dsp:sp modelId="{314D4EF2-451D-425F-8813-9614182F91FB}">
      <dsp:nvSpPr>
        <dsp:cNvPr id="0" name=""/>
        <dsp:cNvSpPr/>
      </dsp:nvSpPr>
      <dsp:spPr>
        <a:xfrm>
          <a:off x="7667887" y="2633751"/>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7894583" y="2676924"/>
        <a:ext cx="25473" cy="5094"/>
      </dsp:txXfrm>
    </dsp:sp>
    <dsp:sp modelId="{AF44471B-2BE2-4DD8-94CC-12854D4E9ECD}">
      <dsp:nvSpPr>
        <dsp:cNvPr id="0" name=""/>
        <dsp:cNvSpPr/>
      </dsp:nvSpPr>
      <dsp:spPr>
        <a:xfrm>
          <a:off x="5454623" y="2014952"/>
          <a:ext cx="2215064" cy="1329038"/>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solidFill>
                <a:sysClr val="windowText" lastClr="000000"/>
              </a:solidFill>
            </a:rPr>
            <a:t>Step 11: UAT Tester receives an order confirmation</a:t>
          </a:r>
        </a:p>
      </dsp:txBody>
      <dsp:txXfrm>
        <a:off x="5454623" y="2014952"/>
        <a:ext cx="2215064" cy="1329038"/>
      </dsp:txXfrm>
    </dsp:sp>
    <dsp:sp modelId="{53184455-3D23-41B2-A04E-36D8390F0DA8}">
      <dsp:nvSpPr>
        <dsp:cNvPr id="0" name=""/>
        <dsp:cNvSpPr/>
      </dsp:nvSpPr>
      <dsp:spPr>
        <a:xfrm>
          <a:off x="10392417" y="2633751"/>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0619113" y="2676924"/>
        <a:ext cx="25473" cy="5094"/>
      </dsp:txXfrm>
    </dsp:sp>
    <dsp:sp modelId="{123BDDD6-0175-4CDB-BBFE-F0CDDD92C873}">
      <dsp:nvSpPr>
        <dsp:cNvPr id="0" name=""/>
        <dsp:cNvSpPr/>
      </dsp:nvSpPr>
      <dsp:spPr>
        <a:xfrm>
          <a:off x="8179152" y="2014952"/>
          <a:ext cx="2215064" cy="1329038"/>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solidFill>
                <a:sysClr val="windowText" lastClr="000000"/>
              </a:solidFill>
            </a:rPr>
            <a:t>Step 12: UAT Tester reviews monitoring data during the test and compares it with an established baseline.</a:t>
          </a:r>
        </a:p>
      </dsp:txBody>
      <dsp:txXfrm>
        <a:off x="8179152" y="2014952"/>
        <a:ext cx="2215064" cy="1329038"/>
      </dsp:txXfrm>
    </dsp:sp>
    <dsp:sp modelId="{C6FBEB2E-DC6C-4002-B26A-7D36647A1700}">
      <dsp:nvSpPr>
        <dsp:cNvPr id="0" name=""/>
        <dsp:cNvSpPr/>
      </dsp:nvSpPr>
      <dsp:spPr>
        <a:xfrm>
          <a:off x="13116947" y="2633751"/>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3343643" y="2676924"/>
        <a:ext cx="25473" cy="5094"/>
      </dsp:txXfrm>
    </dsp:sp>
    <dsp:sp modelId="{E18BD02F-05B7-4247-A8C2-17189C9EC8A9}">
      <dsp:nvSpPr>
        <dsp:cNvPr id="0" name=""/>
        <dsp:cNvSpPr/>
      </dsp:nvSpPr>
      <dsp:spPr>
        <a:xfrm>
          <a:off x="10903682" y="2014952"/>
          <a:ext cx="2215064" cy="1329038"/>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ctr" anchorCtr="0">
          <a:noAutofit/>
        </a:bodyPr>
        <a:lstStyle/>
        <a:p>
          <a:pPr marL="0" lvl="0" indent="0" algn="ctr" defTabSz="533400">
            <a:lnSpc>
              <a:spcPct val="90000"/>
            </a:lnSpc>
            <a:spcBef>
              <a:spcPct val="0"/>
            </a:spcBef>
            <a:spcAft>
              <a:spcPct val="35000"/>
            </a:spcAft>
            <a:buFont typeface="+mj-lt"/>
            <a:buNone/>
          </a:pPr>
          <a:r>
            <a:rPr lang="en-AU" sz="1200" b="0" i="0" kern="1200">
              <a:solidFill>
                <a:sysClr val="windowText" lastClr="000000"/>
              </a:solidFill>
            </a:rPr>
            <a:t>Step 13: UAT Tester updates the test status along with duration data for each step.</a:t>
          </a:r>
        </a:p>
      </dsp:txBody>
      <dsp:txXfrm>
        <a:off x="10903682" y="2014952"/>
        <a:ext cx="2215064" cy="1329038"/>
      </dsp:txXfrm>
    </dsp:sp>
    <dsp:sp modelId="{F9D87653-1E60-4DDF-A644-EA5D946FBF5D}">
      <dsp:nvSpPr>
        <dsp:cNvPr id="0" name=""/>
        <dsp:cNvSpPr/>
      </dsp:nvSpPr>
      <dsp:spPr>
        <a:xfrm>
          <a:off x="15841476" y="2633751"/>
          <a:ext cx="478864" cy="91440"/>
        </a:xfrm>
        <a:custGeom>
          <a:avLst/>
          <a:gdLst/>
          <a:ahLst/>
          <a:cxnLst/>
          <a:rect l="0" t="0" r="0" b="0"/>
          <a:pathLst>
            <a:path>
              <a:moveTo>
                <a:pt x="0" y="45720"/>
              </a:moveTo>
              <a:lnTo>
                <a:pt x="478864" y="45720"/>
              </a:lnTo>
            </a:path>
          </a:pathLst>
        </a:custGeom>
        <a:noFill/>
        <a:ln w="6350" cap="flat" cmpd="sng" algn="ctr">
          <a:solidFill>
            <a:schemeClr val="accent1">
              <a:hueOff val="0"/>
              <a:satOff val="0"/>
              <a:lumOff val="0"/>
              <a:alphaOff val="0"/>
            </a:schemeClr>
          </a:solidFill>
          <a:prstDash val="solid"/>
          <a:miter lim="800000"/>
          <a:tailEnd type="arrow"/>
        </a:ln>
        <a:effectLst/>
      </dsp:spPr>
      <dsp:style>
        <a:lnRef idx="1">
          <a:scrgbClr r="0" g="0" b="0"/>
        </a:lnRef>
        <a:fillRef idx="0">
          <a:scrgbClr r="0" g="0" b="0"/>
        </a:fillRef>
        <a:effectRef idx="0">
          <a:scrgbClr r="0" g="0" b="0"/>
        </a:effectRef>
        <a:fontRef idx="minor"/>
      </dsp:style>
      <dsp:txBody>
        <a:bodyPr spcFirstLastPara="0" vert="horz" wrap="square" lIns="12700" tIns="0" rIns="12700" bIns="0" numCol="1" spcCol="1270" anchor="ctr" anchorCtr="0">
          <a:noAutofit/>
        </a:bodyPr>
        <a:lstStyle/>
        <a:p>
          <a:pPr marL="0" lvl="0" indent="0" algn="ctr" defTabSz="222250">
            <a:lnSpc>
              <a:spcPct val="90000"/>
            </a:lnSpc>
            <a:spcBef>
              <a:spcPct val="0"/>
            </a:spcBef>
            <a:spcAft>
              <a:spcPct val="35000"/>
            </a:spcAft>
            <a:buNone/>
          </a:pPr>
          <a:endParaRPr lang="en-AU" sz="500" kern="1200"/>
        </a:p>
      </dsp:txBody>
      <dsp:txXfrm>
        <a:off x="16068172" y="2676924"/>
        <a:ext cx="25473" cy="5094"/>
      </dsp:txXfrm>
    </dsp:sp>
    <dsp:sp modelId="{1FBED0E7-AA03-4A37-920A-01489AC3D097}">
      <dsp:nvSpPr>
        <dsp:cNvPr id="0" name=""/>
        <dsp:cNvSpPr/>
      </dsp:nvSpPr>
      <dsp:spPr>
        <a:xfrm>
          <a:off x="13628212" y="2014952"/>
          <a:ext cx="2215064" cy="1329038"/>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t" anchorCtr="0">
          <a:noAutofit/>
        </a:bodyPr>
        <a:lstStyle/>
        <a:p>
          <a:pPr marL="0" lvl="0" indent="0" algn="l" defTabSz="533400">
            <a:lnSpc>
              <a:spcPct val="90000"/>
            </a:lnSpc>
            <a:spcBef>
              <a:spcPct val="0"/>
            </a:spcBef>
            <a:spcAft>
              <a:spcPct val="35000"/>
            </a:spcAft>
            <a:buFont typeface="+mj-lt"/>
            <a:buNone/>
          </a:pPr>
          <a:r>
            <a:rPr lang="en-AU" sz="1200" b="0" i="0" kern="1200">
              <a:solidFill>
                <a:sysClr val="windowText" lastClr="000000"/>
              </a:solidFill>
            </a:rPr>
            <a:t>Step 14: UAT Tester updates -</a:t>
          </a:r>
        </a:p>
        <a:p>
          <a:pPr marL="57150" lvl="1" indent="-57150" algn="l" defTabSz="400050">
            <a:lnSpc>
              <a:spcPct val="90000"/>
            </a:lnSpc>
            <a:spcBef>
              <a:spcPct val="0"/>
            </a:spcBef>
            <a:spcAft>
              <a:spcPct val="15000"/>
            </a:spcAft>
            <a:buFont typeface="+mj-lt"/>
            <a:buAutoNum type="arabicPeriod"/>
          </a:pPr>
          <a:r>
            <a:rPr lang="en-AU" sz="900" b="0" i="0" kern="1200">
              <a:solidFill>
                <a:sysClr val="windowText" lastClr="000000"/>
              </a:solidFill>
            </a:rPr>
            <a:t>Application Business Impact Assessment</a:t>
          </a:r>
        </a:p>
        <a:p>
          <a:pPr marL="57150" lvl="1" indent="-57150" algn="l" defTabSz="400050">
            <a:lnSpc>
              <a:spcPct val="90000"/>
            </a:lnSpc>
            <a:spcBef>
              <a:spcPct val="0"/>
            </a:spcBef>
            <a:spcAft>
              <a:spcPct val="15000"/>
            </a:spcAft>
            <a:buFont typeface="+mj-lt"/>
            <a:buAutoNum type="arabicPeriod"/>
          </a:pPr>
          <a:r>
            <a:rPr lang="en-AU" sz="900" b="0" i="0" kern="1200">
              <a:solidFill>
                <a:sysClr val="windowText" lastClr="000000"/>
              </a:solidFill>
            </a:rPr>
            <a:t>Application Test Plan Summary</a:t>
          </a:r>
        </a:p>
        <a:p>
          <a:pPr marL="57150" lvl="1" indent="-57150" algn="l" defTabSz="400050">
            <a:lnSpc>
              <a:spcPct val="90000"/>
            </a:lnSpc>
            <a:spcBef>
              <a:spcPct val="0"/>
            </a:spcBef>
            <a:spcAft>
              <a:spcPct val="15000"/>
            </a:spcAft>
            <a:buFont typeface="+mj-lt"/>
            <a:buAutoNum type="arabicPeriod"/>
          </a:pPr>
          <a:r>
            <a:rPr lang="en-AU" sz="900" b="0" i="0" kern="1200">
              <a:solidFill>
                <a:sysClr val="windowText" lastClr="000000"/>
              </a:solidFill>
            </a:rPr>
            <a:t>BCDR Dashboard</a:t>
          </a:r>
        </a:p>
      </dsp:txBody>
      <dsp:txXfrm>
        <a:off x="13628212" y="2014952"/>
        <a:ext cx="2215064" cy="1329038"/>
      </dsp:txXfrm>
    </dsp:sp>
    <dsp:sp modelId="{669F59D7-9D12-4B22-8D2E-2633EE923B81}">
      <dsp:nvSpPr>
        <dsp:cNvPr id="0" name=""/>
        <dsp:cNvSpPr/>
      </dsp:nvSpPr>
      <dsp:spPr>
        <a:xfrm>
          <a:off x="16352741" y="2014952"/>
          <a:ext cx="2215064" cy="1329038"/>
        </a:xfrm>
        <a:prstGeom prst="rect">
          <a:avLst/>
        </a:prstGeom>
        <a:solidFill>
          <a:srgbClr val="7FBA00"/>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5344" tIns="85344" rIns="85344" bIns="85344" numCol="1" spcCol="1270" anchor="t" anchorCtr="0">
          <a:noAutofit/>
        </a:bodyPr>
        <a:lstStyle/>
        <a:p>
          <a:pPr marL="0" lvl="0" indent="0" algn="l" defTabSz="533400">
            <a:lnSpc>
              <a:spcPct val="90000"/>
            </a:lnSpc>
            <a:spcBef>
              <a:spcPct val="0"/>
            </a:spcBef>
            <a:spcAft>
              <a:spcPct val="35000"/>
            </a:spcAft>
            <a:buFont typeface="+mj-lt"/>
            <a:buNone/>
          </a:pPr>
          <a:r>
            <a:rPr lang="en-AU" sz="1200" b="0" i="0" kern="1200">
              <a:solidFill>
                <a:sysClr val="windowText" lastClr="000000"/>
              </a:solidFill>
            </a:rPr>
            <a:t>Step 15: Business Owner review and sign off Test Results on -</a:t>
          </a:r>
        </a:p>
        <a:p>
          <a:pPr marL="57150" lvl="1" indent="-57150" algn="l" defTabSz="400050">
            <a:lnSpc>
              <a:spcPct val="90000"/>
            </a:lnSpc>
            <a:spcBef>
              <a:spcPct val="0"/>
            </a:spcBef>
            <a:spcAft>
              <a:spcPct val="15000"/>
            </a:spcAft>
            <a:buFont typeface="+mj-lt"/>
            <a:buAutoNum type="arabicPeriod"/>
          </a:pPr>
          <a:r>
            <a:rPr lang="en-AU" sz="900" b="0" i="0" kern="1200">
              <a:solidFill>
                <a:sysClr val="windowText" lastClr="000000"/>
              </a:solidFill>
            </a:rPr>
            <a:t>Application Business Impact Assessment</a:t>
          </a:r>
        </a:p>
        <a:p>
          <a:pPr marL="57150" lvl="1" indent="-57150" algn="l" defTabSz="400050">
            <a:lnSpc>
              <a:spcPct val="90000"/>
            </a:lnSpc>
            <a:spcBef>
              <a:spcPct val="0"/>
            </a:spcBef>
            <a:spcAft>
              <a:spcPct val="15000"/>
            </a:spcAft>
            <a:buFont typeface="+mj-lt"/>
            <a:buAutoNum type="arabicPeriod"/>
          </a:pPr>
          <a:r>
            <a:rPr lang="en-AU" sz="900" b="0" i="0" kern="1200">
              <a:solidFill>
                <a:sysClr val="windowText" lastClr="000000"/>
              </a:solidFill>
            </a:rPr>
            <a:t>Application Test Plan Summary</a:t>
          </a:r>
        </a:p>
        <a:p>
          <a:pPr marL="57150" lvl="1" indent="-57150" algn="l" defTabSz="400050">
            <a:lnSpc>
              <a:spcPct val="90000"/>
            </a:lnSpc>
            <a:spcBef>
              <a:spcPct val="0"/>
            </a:spcBef>
            <a:spcAft>
              <a:spcPct val="15000"/>
            </a:spcAft>
            <a:buFont typeface="+mj-lt"/>
            <a:buAutoNum type="arabicPeriod"/>
          </a:pPr>
          <a:r>
            <a:rPr lang="en-AU" sz="900" b="0" i="0" kern="1200">
              <a:solidFill>
                <a:sysClr val="windowText" lastClr="000000"/>
              </a:solidFill>
            </a:rPr>
            <a:t>BCDR Dashboard</a:t>
          </a:r>
        </a:p>
      </dsp:txBody>
      <dsp:txXfrm>
        <a:off x="16352741" y="2014952"/>
        <a:ext cx="2215064" cy="1329038"/>
      </dsp:txXfrm>
    </dsp:sp>
  </dsp:spTree>
</dsp:drawing>
</file>

<file path=xl/diagrams/drawing14.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E92898EE-A489-45D5-AFC1-1D9F4EF71FD6}">
      <dsp:nvSpPr>
        <dsp:cNvPr id="0" name=""/>
        <dsp:cNvSpPr/>
      </dsp:nvSpPr>
      <dsp:spPr>
        <a:xfrm rot="16200000">
          <a:off x="-1244585"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t" anchorCtr="0">
          <a:noAutofit/>
        </a:bodyPr>
        <a:lstStyle/>
        <a:p>
          <a:pPr marL="0" lvl="0" indent="0" algn="l" defTabSz="222250">
            <a:lnSpc>
              <a:spcPct val="90000"/>
            </a:lnSpc>
            <a:spcBef>
              <a:spcPct val="0"/>
            </a:spcBef>
            <a:spcAft>
              <a:spcPct val="35000"/>
            </a:spcAft>
            <a:buNone/>
          </a:pPr>
          <a:r>
            <a:rPr lang="en-AU" sz="500" kern="1200"/>
            <a:t>Requirements</a:t>
          </a:r>
        </a:p>
        <a:p>
          <a:pPr marL="57150" lvl="1" indent="-57150" algn="l" defTabSz="177800">
            <a:lnSpc>
              <a:spcPct val="90000"/>
            </a:lnSpc>
            <a:spcBef>
              <a:spcPct val="0"/>
            </a:spcBef>
            <a:spcAft>
              <a:spcPct val="15000"/>
            </a:spcAft>
            <a:buChar char="•"/>
          </a:pPr>
          <a:r>
            <a:rPr lang="en-AU" sz="400" kern="1200"/>
            <a:t>Architecture Decision Record</a:t>
          </a:r>
        </a:p>
      </dsp:txBody>
      <dsp:txXfrm rot="5400000">
        <a:off x="829" y="600709"/>
        <a:ext cx="512722" cy="1802130"/>
      </dsp:txXfrm>
    </dsp:sp>
    <dsp:sp modelId="{F9F4C95B-509D-4416-B9B8-D2225FA9F286}">
      <dsp:nvSpPr>
        <dsp:cNvPr id="0" name=""/>
        <dsp:cNvSpPr/>
      </dsp:nvSpPr>
      <dsp:spPr>
        <a:xfrm rot="16200000">
          <a:off x="-693408"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t" anchorCtr="0">
          <a:noAutofit/>
        </a:bodyPr>
        <a:lstStyle/>
        <a:p>
          <a:pPr marL="0" lvl="0" indent="0" algn="l" defTabSz="222250">
            <a:lnSpc>
              <a:spcPct val="90000"/>
            </a:lnSpc>
            <a:spcBef>
              <a:spcPct val="0"/>
            </a:spcBef>
            <a:spcAft>
              <a:spcPct val="35000"/>
            </a:spcAft>
            <a:buNone/>
          </a:pPr>
          <a:r>
            <a:rPr lang="en-AU" sz="500" kern="1200"/>
            <a:t>RACI</a:t>
          </a:r>
        </a:p>
        <a:p>
          <a:pPr marL="57150" lvl="1" indent="-57150" algn="l" defTabSz="177800">
            <a:lnSpc>
              <a:spcPct val="90000"/>
            </a:lnSpc>
            <a:spcBef>
              <a:spcPct val="0"/>
            </a:spcBef>
            <a:spcAft>
              <a:spcPct val="15000"/>
            </a:spcAft>
            <a:buChar char="•"/>
          </a:pPr>
          <a:r>
            <a:rPr lang="en-AU" sz="400" kern="1200"/>
            <a:t>Role Assignment</a:t>
          </a:r>
        </a:p>
      </dsp:txBody>
      <dsp:txXfrm rot="5400000">
        <a:off x="552006" y="600709"/>
        <a:ext cx="512722" cy="1802130"/>
      </dsp:txXfrm>
    </dsp:sp>
    <dsp:sp modelId="{F8ECBBDB-1648-40D0-86C1-35900B7431D9}">
      <dsp:nvSpPr>
        <dsp:cNvPr id="0" name=""/>
        <dsp:cNvSpPr/>
      </dsp:nvSpPr>
      <dsp:spPr>
        <a:xfrm rot="16200000">
          <a:off x="-142231"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ctr" anchorCtr="0">
          <a:noAutofit/>
        </a:bodyPr>
        <a:lstStyle/>
        <a:p>
          <a:pPr marL="0" lvl="0" indent="0" algn="ctr" defTabSz="222250">
            <a:lnSpc>
              <a:spcPct val="90000"/>
            </a:lnSpc>
            <a:spcBef>
              <a:spcPct val="0"/>
            </a:spcBef>
            <a:spcAft>
              <a:spcPct val="35000"/>
            </a:spcAft>
            <a:buNone/>
          </a:pPr>
          <a:r>
            <a:rPr lang="en-AU" sz="500" kern="1200"/>
            <a:t>Service Map</a:t>
          </a:r>
        </a:p>
      </dsp:txBody>
      <dsp:txXfrm rot="5400000">
        <a:off x="1103183" y="600709"/>
        <a:ext cx="512722" cy="1802130"/>
      </dsp:txXfrm>
    </dsp:sp>
    <dsp:sp modelId="{F61C619B-68FA-4BDF-BCA7-7B2B90901B02}">
      <dsp:nvSpPr>
        <dsp:cNvPr id="0" name=""/>
        <dsp:cNvSpPr/>
      </dsp:nvSpPr>
      <dsp:spPr>
        <a:xfrm rot="16200000">
          <a:off x="408945"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t" anchorCtr="0">
          <a:noAutofit/>
        </a:bodyPr>
        <a:lstStyle/>
        <a:p>
          <a:pPr marL="0" lvl="0" indent="0" algn="l" defTabSz="222250">
            <a:lnSpc>
              <a:spcPct val="90000"/>
            </a:lnSpc>
            <a:spcBef>
              <a:spcPct val="0"/>
            </a:spcBef>
            <a:spcAft>
              <a:spcPct val="35000"/>
            </a:spcAft>
            <a:buNone/>
          </a:pPr>
          <a:r>
            <a:rPr lang="en-AU" sz="500" kern="1200"/>
            <a:t>Architecture BCDR Design</a:t>
          </a:r>
        </a:p>
        <a:p>
          <a:pPr marL="57150" lvl="1" indent="-57150" algn="l" defTabSz="177800">
            <a:lnSpc>
              <a:spcPct val="90000"/>
            </a:lnSpc>
            <a:spcBef>
              <a:spcPct val="0"/>
            </a:spcBef>
            <a:spcAft>
              <a:spcPct val="15000"/>
            </a:spcAft>
            <a:buChar char="•"/>
          </a:pPr>
          <a:r>
            <a:rPr lang="en-AU" sz="400" kern="1200"/>
            <a:t>Total Cost of Ownership</a:t>
          </a:r>
        </a:p>
      </dsp:txBody>
      <dsp:txXfrm rot="5400000">
        <a:off x="1654359" y="600709"/>
        <a:ext cx="512722" cy="1802130"/>
      </dsp:txXfrm>
    </dsp:sp>
    <dsp:sp modelId="{25B0B4D2-0670-4512-96DC-F7E73833F16E}">
      <dsp:nvSpPr>
        <dsp:cNvPr id="0" name=""/>
        <dsp:cNvSpPr/>
      </dsp:nvSpPr>
      <dsp:spPr>
        <a:xfrm rot="16200000">
          <a:off x="960122"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ctr" anchorCtr="0">
          <a:noAutofit/>
        </a:bodyPr>
        <a:lstStyle/>
        <a:p>
          <a:pPr marL="0" lvl="0" indent="0" algn="ctr" defTabSz="222250">
            <a:lnSpc>
              <a:spcPct val="90000"/>
            </a:lnSpc>
            <a:spcBef>
              <a:spcPct val="0"/>
            </a:spcBef>
            <a:spcAft>
              <a:spcPct val="35000"/>
            </a:spcAft>
            <a:buNone/>
          </a:pPr>
          <a:r>
            <a:rPr lang="en-AU" sz="500" kern="1200"/>
            <a:t>Fault Tree Analysis</a:t>
          </a:r>
        </a:p>
      </dsp:txBody>
      <dsp:txXfrm rot="5400000">
        <a:off x="2205536" y="600709"/>
        <a:ext cx="512722" cy="1802130"/>
      </dsp:txXfrm>
    </dsp:sp>
    <dsp:sp modelId="{078CD03C-ADDF-495D-A279-AC1C4ACD725F}">
      <dsp:nvSpPr>
        <dsp:cNvPr id="0" name=""/>
        <dsp:cNvSpPr/>
      </dsp:nvSpPr>
      <dsp:spPr>
        <a:xfrm rot="16200000">
          <a:off x="1511300"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ctr" anchorCtr="0">
          <a:noAutofit/>
        </a:bodyPr>
        <a:lstStyle/>
        <a:p>
          <a:pPr marL="0" lvl="0" indent="0" algn="ctr" defTabSz="222250">
            <a:lnSpc>
              <a:spcPct val="90000"/>
            </a:lnSpc>
            <a:spcBef>
              <a:spcPct val="0"/>
            </a:spcBef>
            <a:spcAft>
              <a:spcPct val="35000"/>
            </a:spcAft>
            <a:buNone/>
          </a:pPr>
          <a:r>
            <a:rPr lang="en-AU" sz="500" kern="1200"/>
            <a:t>Business Impact Analysis</a:t>
          </a:r>
        </a:p>
      </dsp:txBody>
      <dsp:txXfrm rot="5400000">
        <a:off x="2756714" y="600709"/>
        <a:ext cx="512722" cy="1802130"/>
      </dsp:txXfrm>
    </dsp:sp>
    <dsp:sp modelId="{5CBB3D11-6689-4558-89FF-A325E0468CB8}">
      <dsp:nvSpPr>
        <dsp:cNvPr id="0" name=""/>
        <dsp:cNvSpPr/>
      </dsp:nvSpPr>
      <dsp:spPr>
        <a:xfrm rot="16200000">
          <a:off x="2062477"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ctr" anchorCtr="0">
          <a:noAutofit/>
        </a:bodyPr>
        <a:lstStyle/>
        <a:p>
          <a:pPr marL="0" lvl="0" indent="0" algn="ctr" defTabSz="222250">
            <a:lnSpc>
              <a:spcPct val="90000"/>
            </a:lnSpc>
            <a:spcBef>
              <a:spcPct val="0"/>
            </a:spcBef>
            <a:spcAft>
              <a:spcPct val="35000"/>
            </a:spcAft>
            <a:buNone/>
          </a:pPr>
          <a:r>
            <a:rPr lang="en-AU" sz="500" kern="1200"/>
            <a:t>Response Plan</a:t>
          </a:r>
        </a:p>
      </dsp:txBody>
      <dsp:txXfrm rot="5400000">
        <a:off x="3307891" y="600709"/>
        <a:ext cx="512722" cy="1802130"/>
      </dsp:txXfrm>
    </dsp:sp>
    <dsp:sp modelId="{4616B51C-F5AF-4D15-A258-DB6A4789C557}">
      <dsp:nvSpPr>
        <dsp:cNvPr id="0" name=""/>
        <dsp:cNvSpPr/>
      </dsp:nvSpPr>
      <dsp:spPr>
        <a:xfrm rot="16200000">
          <a:off x="2613654"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ctr" anchorCtr="0">
          <a:noAutofit/>
        </a:bodyPr>
        <a:lstStyle/>
        <a:p>
          <a:pPr marL="0" lvl="0" indent="0" algn="ctr" defTabSz="222250">
            <a:lnSpc>
              <a:spcPct val="90000"/>
            </a:lnSpc>
            <a:spcBef>
              <a:spcPct val="0"/>
            </a:spcBef>
            <a:spcAft>
              <a:spcPct val="35000"/>
            </a:spcAft>
            <a:buNone/>
          </a:pPr>
          <a:r>
            <a:rPr lang="en-AU" sz="500" kern="1200"/>
            <a:t>Contingency Plan</a:t>
          </a:r>
        </a:p>
      </dsp:txBody>
      <dsp:txXfrm rot="5400000">
        <a:off x="3859068" y="600709"/>
        <a:ext cx="512722" cy="1802130"/>
      </dsp:txXfrm>
    </dsp:sp>
    <dsp:sp modelId="{3212F404-DFE2-43E3-A48F-93D9541023BC}">
      <dsp:nvSpPr>
        <dsp:cNvPr id="0" name=""/>
        <dsp:cNvSpPr/>
      </dsp:nvSpPr>
      <dsp:spPr>
        <a:xfrm rot="16200000">
          <a:off x="3164831"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ctr" anchorCtr="0">
          <a:noAutofit/>
        </a:bodyPr>
        <a:lstStyle/>
        <a:p>
          <a:pPr marL="0" lvl="0" indent="0" algn="ctr" defTabSz="222250">
            <a:lnSpc>
              <a:spcPct val="90000"/>
            </a:lnSpc>
            <a:spcBef>
              <a:spcPct val="0"/>
            </a:spcBef>
            <a:spcAft>
              <a:spcPct val="35000"/>
            </a:spcAft>
            <a:buNone/>
          </a:pPr>
          <a:r>
            <a:rPr lang="en-AU" sz="500" kern="1200"/>
            <a:t>Test Plans</a:t>
          </a:r>
        </a:p>
      </dsp:txBody>
      <dsp:txXfrm rot="5400000">
        <a:off x="4410245" y="600709"/>
        <a:ext cx="512722" cy="1802130"/>
      </dsp:txXfrm>
    </dsp:sp>
    <dsp:sp modelId="{33309520-EFE8-42D7-A97D-8B5449FCEDC8}">
      <dsp:nvSpPr>
        <dsp:cNvPr id="0" name=""/>
        <dsp:cNvSpPr/>
      </dsp:nvSpPr>
      <dsp:spPr>
        <a:xfrm rot="16200000">
          <a:off x="3716008"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ctr" anchorCtr="0">
          <a:noAutofit/>
        </a:bodyPr>
        <a:lstStyle/>
        <a:p>
          <a:pPr marL="0" lvl="0" indent="0" algn="ctr" defTabSz="222250">
            <a:lnSpc>
              <a:spcPct val="90000"/>
            </a:lnSpc>
            <a:spcBef>
              <a:spcPct val="0"/>
            </a:spcBef>
            <a:spcAft>
              <a:spcPct val="35000"/>
            </a:spcAft>
            <a:buNone/>
          </a:pPr>
          <a:r>
            <a:rPr lang="en-AU" sz="500" kern="1200"/>
            <a:t>Outage Communication Plan</a:t>
          </a:r>
        </a:p>
      </dsp:txBody>
      <dsp:txXfrm rot="5400000">
        <a:off x="4961422" y="600709"/>
        <a:ext cx="512722" cy="1802130"/>
      </dsp:txXfrm>
    </dsp:sp>
    <dsp:sp modelId="{EF609521-6D6D-4821-8464-B2CE26F6D603}">
      <dsp:nvSpPr>
        <dsp:cNvPr id="0" name=""/>
        <dsp:cNvSpPr/>
      </dsp:nvSpPr>
      <dsp:spPr>
        <a:xfrm rot="16200000">
          <a:off x="4267185" y="1245413"/>
          <a:ext cx="3003550" cy="512722"/>
        </a:xfrm>
        <a:prstGeom prst="flowChartManualOperation">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1750" tIns="0" rIns="34873" bIns="0" numCol="1" spcCol="1270" anchor="t" anchorCtr="0">
          <a:noAutofit/>
        </a:bodyPr>
        <a:lstStyle/>
        <a:p>
          <a:pPr marL="0" lvl="0" indent="0" algn="l" defTabSz="222250">
            <a:lnSpc>
              <a:spcPct val="90000"/>
            </a:lnSpc>
            <a:spcBef>
              <a:spcPct val="0"/>
            </a:spcBef>
            <a:spcAft>
              <a:spcPct val="35000"/>
            </a:spcAft>
            <a:buNone/>
          </a:pPr>
          <a:r>
            <a:rPr lang="en-AU" sz="500" kern="1200"/>
            <a:t>BCDR Governance Updates</a:t>
          </a:r>
        </a:p>
        <a:p>
          <a:pPr marL="57150" lvl="1" indent="-57150" algn="l" defTabSz="177800">
            <a:lnSpc>
              <a:spcPct val="90000"/>
            </a:lnSpc>
            <a:spcBef>
              <a:spcPct val="0"/>
            </a:spcBef>
            <a:spcAft>
              <a:spcPct val="15000"/>
            </a:spcAft>
            <a:buChar char="•"/>
          </a:pPr>
          <a:r>
            <a:rPr lang="en-AU" sz="400" kern="1200"/>
            <a:t>BIA Portfolio Summary</a:t>
          </a:r>
        </a:p>
        <a:p>
          <a:pPr marL="57150" lvl="1" indent="-57150" algn="l" defTabSz="177800">
            <a:lnSpc>
              <a:spcPct val="90000"/>
            </a:lnSpc>
            <a:spcBef>
              <a:spcPct val="0"/>
            </a:spcBef>
            <a:spcAft>
              <a:spcPct val="15000"/>
            </a:spcAft>
            <a:buChar char="•"/>
          </a:pPr>
          <a:r>
            <a:rPr lang="en-AU" sz="400" kern="1200"/>
            <a:t>Business Critical Calendar</a:t>
          </a:r>
        </a:p>
        <a:p>
          <a:pPr marL="57150" lvl="1" indent="-57150" algn="l" defTabSz="177800">
            <a:lnSpc>
              <a:spcPct val="90000"/>
            </a:lnSpc>
            <a:spcBef>
              <a:spcPct val="0"/>
            </a:spcBef>
            <a:spcAft>
              <a:spcPct val="15000"/>
            </a:spcAft>
            <a:buChar char="•"/>
          </a:pPr>
          <a:r>
            <a:rPr lang="en-AU" sz="400" kern="1200"/>
            <a:t>BCDR Dashboard</a:t>
          </a:r>
        </a:p>
        <a:p>
          <a:pPr marL="57150" lvl="1" indent="-57150" algn="l" defTabSz="177800">
            <a:lnSpc>
              <a:spcPct val="90000"/>
            </a:lnSpc>
            <a:spcBef>
              <a:spcPct val="0"/>
            </a:spcBef>
            <a:spcAft>
              <a:spcPct val="15000"/>
            </a:spcAft>
            <a:buChar char="•"/>
          </a:pPr>
          <a:r>
            <a:rPr lang="en-AU" sz="400" kern="1200"/>
            <a:t>Multiple Application Continuity Plan</a:t>
          </a:r>
        </a:p>
      </dsp:txBody>
      <dsp:txXfrm rot="5400000">
        <a:off x="5512599" y="600709"/>
        <a:ext cx="512722" cy="1802130"/>
      </dsp:txXfrm>
    </dsp:sp>
  </dsp:spTree>
</dsp:drawing>
</file>

<file path=xl/diagrams/drawing2.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11AC314-890B-473C-8F7B-00BBB4CA868D}">
      <dsp:nvSpPr>
        <dsp:cNvPr id="0" name=""/>
        <dsp:cNvSpPr/>
      </dsp:nvSpPr>
      <dsp:spPr>
        <a:xfrm>
          <a:off x="3124" y="0"/>
          <a:ext cx="1170000" cy="1170000"/>
        </a:xfrm>
        <a:prstGeom prst="ellipse">
          <a:avLst/>
        </a:prstGeom>
        <a:solidFill>
          <a:schemeClr val="accent4">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2B55EE49-E545-4E5D-8CA7-758ABD8F1037}">
      <dsp:nvSpPr>
        <dsp:cNvPr id="0" name=""/>
        <dsp:cNvSpPr/>
      </dsp:nvSpPr>
      <dsp:spPr>
        <a:xfrm>
          <a:off x="120124" y="117000"/>
          <a:ext cx="936000" cy="936000"/>
        </a:xfrm>
        <a:prstGeom prst="chord">
          <a:avLst>
            <a:gd name="adj1" fmla="val 0"/>
            <a:gd name="adj2" fmla="val 10800000"/>
          </a:avLst>
        </a:prstGeom>
        <a:solidFill>
          <a:schemeClr val="lt1">
            <a:hueOff val="0"/>
            <a:satOff val="0"/>
            <a:lumOff val="0"/>
            <a:alphaOff val="0"/>
          </a:schemeClr>
        </a:solidFill>
        <a:ln w="12700" cap="flat" cmpd="sng" algn="ctr">
          <a:solidFill>
            <a:schemeClr val="accent4">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AC6BF7C1-5ECF-4DCC-B3E1-4A5389193B8C}">
      <dsp:nvSpPr>
        <dsp:cNvPr id="0" name=""/>
        <dsp:cNvSpPr/>
      </dsp:nvSpPr>
      <dsp:spPr>
        <a:xfrm>
          <a:off x="1416874" y="1170000"/>
          <a:ext cx="3461250" cy="492375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35560" tIns="35560" rIns="35560" bIns="35560" numCol="1" spcCol="1270" anchor="t" anchorCtr="0">
          <a:noAutofit/>
        </a:bodyPr>
        <a:lstStyle/>
        <a:p>
          <a:pPr marL="0" lvl="0" indent="0" algn="l" defTabSz="622300">
            <a:lnSpc>
              <a:spcPct val="90000"/>
            </a:lnSpc>
            <a:spcBef>
              <a:spcPct val="0"/>
            </a:spcBef>
            <a:spcAft>
              <a:spcPct val="35000"/>
            </a:spcAft>
            <a:buNone/>
          </a:pPr>
          <a:r>
            <a:rPr lang="en-AU" sz="1400" u="sng" kern="1200"/>
            <a:t>Tier 1-4 Applications</a:t>
          </a:r>
        </a:p>
        <a:p>
          <a:pPr marL="0" lvl="0" indent="0" algn="l" defTabSz="622300">
            <a:lnSpc>
              <a:spcPct val="90000"/>
            </a:lnSpc>
            <a:spcBef>
              <a:spcPct val="0"/>
            </a:spcBef>
            <a:spcAft>
              <a:spcPct val="35000"/>
            </a:spcAft>
            <a:buNone/>
          </a:pPr>
          <a:r>
            <a:rPr lang="en-AU" sz="1400" kern="1200"/>
            <a:t>Implement GitHub repository resilience:</a:t>
          </a:r>
        </a:p>
        <a:p>
          <a:pPr marL="57150" lvl="1" indent="-57150" algn="l" defTabSz="488950">
            <a:lnSpc>
              <a:spcPct val="90000"/>
            </a:lnSpc>
            <a:spcBef>
              <a:spcPct val="0"/>
            </a:spcBef>
            <a:spcAft>
              <a:spcPct val="15000"/>
            </a:spcAft>
            <a:buChar char="•"/>
          </a:pPr>
          <a:r>
            <a:rPr lang="en-AU" sz="1100" kern="1200"/>
            <a:t>Restrict and control access to the repository by ensuring that only authorized persons have access to it.</a:t>
          </a:r>
        </a:p>
        <a:p>
          <a:pPr marL="57150" lvl="1" indent="-57150" algn="l" defTabSz="488950">
            <a:lnSpc>
              <a:spcPct val="90000"/>
            </a:lnSpc>
            <a:spcBef>
              <a:spcPct val="0"/>
            </a:spcBef>
            <a:spcAft>
              <a:spcPct val="15000"/>
            </a:spcAft>
            <a:buChar char="•"/>
          </a:pPr>
          <a:r>
            <a:rPr lang="en-AU" sz="1100" kern="1200"/>
            <a:t>Protect code branches by setting up branch protection rules.</a:t>
          </a:r>
        </a:p>
        <a:p>
          <a:pPr marL="57150" lvl="1" indent="-57150" algn="l" defTabSz="488950">
            <a:lnSpc>
              <a:spcPct val="90000"/>
            </a:lnSpc>
            <a:spcBef>
              <a:spcPct val="0"/>
            </a:spcBef>
            <a:spcAft>
              <a:spcPct val="15000"/>
            </a:spcAft>
            <a:buChar char="•"/>
          </a:pPr>
          <a:r>
            <a:rPr lang="en-AU" sz="1100" kern="1200"/>
            <a:t> Conduct a background check on employees (HR Decision).</a:t>
          </a:r>
        </a:p>
        <a:p>
          <a:pPr marL="57150" lvl="1" indent="-57150" algn="l" defTabSz="488950">
            <a:lnSpc>
              <a:spcPct val="90000"/>
            </a:lnSpc>
            <a:spcBef>
              <a:spcPct val="0"/>
            </a:spcBef>
            <a:spcAft>
              <a:spcPct val="15000"/>
            </a:spcAft>
            <a:buChar char="•"/>
          </a:pPr>
          <a:r>
            <a:rPr lang="en-AU" sz="1100" kern="1200"/>
            <a:t>  • Use security control tools to scan for vulnerabilities.</a:t>
          </a:r>
        </a:p>
        <a:p>
          <a:pPr marL="57150" lvl="1" indent="-57150" algn="l" defTabSz="488950">
            <a:lnSpc>
              <a:spcPct val="90000"/>
            </a:lnSpc>
            <a:spcBef>
              <a:spcPct val="0"/>
            </a:spcBef>
            <a:spcAft>
              <a:spcPct val="15000"/>
            </a:spcAft>
            <a:buChar char="•"/>
          </a:pPr>
          <a:r>
            <a:rPr lang="en-AU" sz="1100" kern="1200"/>
            <a:t>Use security control tools to scan for vulnerabilities.</a:t>
          </a:r>
        </a:p>
        <a:p>
          <a:pPr marL="57150" lvl="1" indent="-57150" algn="l" defTabSz="488950">
            <a:lnSpc>
              <a:spcPct val="90000"/>
            </a:lnSpc>
            <a:spcBef>
              <a:spcPct val="0"/>
            </a:spcBef>
            <a:spcAft>
              <a:spcPct val="15000"/>
            </a:spcAft>
            <a:buChar char="•"/>
          </a:pPr>
          <a:r>
            <a:rPr lang="en-AU" sz="1100" kern="1200"/>
            <a:t> Be careful of forking.</a:t>
          </a:r>
        </a:p>
        <a:p>
          <a:pPr marL="57150" lvl="1" indent="-57150" algn="l" defTabSz="488950">
            <a:lnSpc>
              <a:spcPct val="90000"/>
            </a:lnSpc>
            <a:spcBef>
              <a:spcPct val="0"/>
            </a:spcBef>
            <a:spcAft>
              <a:spcPct val="15000"/>
            </a:spcAft>
            <a:buChar char="•"/>
          </a:pPr>
          <a:r>
            <a:rPr lang="en-AU" sz="1100" kern="1200"/>
            <a:t> Secure repository by enabling CodeQL.</a:t>
          </a:r>
        </a:p>
        <a:p>
          <a:pPr marL="57150" lvl="1" indent="-57150" algn="l" defTabSz="488950">
            <a:lnSpc>
              <a:spcPct val="90000"/>
            </a:lnSpc>
            <a:spcBef>
              <a:spcPct val="0"/>
            </a:spcBef>
            <a:spcAft>
              <a:spcPct val="15000"/>
            </a:spcAft>
            <a:buChar char="•"/>
          </a:pPr>
          <a:r>
            <a:rPr lang="en-AU" sz="1100" kern="1200"/>
            <a:t> Review default configuration settings for the repository. </a:t>
          </a:r>
        </a:p>
        <a:p>
          <a:pPr marL="57150" lvl="1" indent="-57150" algn="l" defTabSz="488950">
            <a:lnSpc>
              <a:spcPct val="90000"/>
            </a:lnSpc>
            <a:spcBef>
              <a:spcPct val="0"/>
            </a:spcBef>
            <a:spcAft>
              <a:spcPct val="15000"/>
            </a:spcAft>
            <a:buChar char="•"/>
          </a:pPr>
          <a:r>
            <a:rPr lang="en-AU" sz="1100" kern="1200"/>
            <a:t> Enforce repository management policies in the enterprise</a:t>
          </a:r>
        </a:p>
        <a:p>
          <a:pPr marL="0" lvl="0" indent="0" algn="l" defTabSz="622300">
            <a:lnSpc>
              <a:spcPct val="90000"/>
            </a:lnSpc>
            <a:spcBef>
              <a:spcPct val="0"/>
            </a:spcBef>
            <a:spcAft>
              <a:spcPct val="35000"/>
            </a:spcAft>
            <a:buNone/>
          </a:pPr>
          <a:r>
            <a:rPr lang="en-AU" sz="1400" kern="1200"/>
            <a:t>GitHub Actions provides a number of features to help build resilient pipelines:</a:t>
          </a:r>
        </a:p>
        <a:p>
          <a:pPr marL="57150" lvl="1" indent="-57150" algn="l" defTabSz="488950">
            <a:lnSpc>
              <a:spcPct val="90000"/>
            </a:lnSpc>
            <a:spcBef>
              <a:spcPct val="0"/>
            </a:spcBef>
            <a:spcAft>
              <a:spcPct val="15000"/>
            </a:spcAft>
            <a:buChar char="•"/>
          </a:pPr>
          <a:r>
            <a:rPr lang="en-AU" sz="1100" kern="1200"/>
            <a:t>  Use retry policies to automatically retry failed jobs or steps in the pipeline. </a:t>
          </a:r>
        </a:p>
        <a:p>
          <a:pPr marL="57150" lvl="1" indent="-57150" algn="l" defTabSz="488950">
            <a:lnSpc>
              <a:spcPct val="90000"/>
            </a:lnSpc>
            <a:spcBef>
              <a:spcPct val="0"/>
            </a:spcBef>
            <a:spcAft>
              <a:spcPct val="15000"/>
            </a:spcAft>
            <a:buChar char="•"/>
          </a:pPr>
          <a:r>
            <a:rPr lang="en-AU" sz="1100" kern="1200"/>
            <a:t>  Use circuit breakers, which can help prevent cascading failures by stopping requests to a service that’s experiencing issues. </a:t>
          </a:r>
        </a:p>
        <a:p>
          <a:pPr marL="57150" lvl="1" indent="-57150" algn="l" defTabSz="488950">
            <a:lnSpc>
              <a:spcPct val="90000"/>
            </a:lnSpc>
            <a:spcBef>
              <a:spcPct val="0"/>
            </a:spcBef>
            <a:spcAft>
              <a:spcPct val="15000"/>
            </a:spcAft>
            <a:buChar char="•"/>
          </a:pPr>
          <a:r>
            <a:rPr lang="en-AU" sz="1100" kern="1200"/>
            <a:t> Use timeouts to ensure that the pipeline doesn’t get stuck waiting for a step that’s taking too long.</a:t>
          </a:r>
        </a:p>
      </dsp:txBody>
      <dsp:txXfrm>
        <a:off x="1416874" y="1170000"/>
        <a:ext cx="3461250" cy="4923750"/>
      </dsp:txXfrm>
    </dsp:sp>
    <dsp:sp modelId="{1764240F-41F9-42D2-8804-52DE5D0083C8}">
      <dsp:nvSpPr>
        <dsp:cNvPr id="0" name=""/>
        <dsp:cNvSpPr/>
      </dsp:nvSpPr>
      <dsp:spPr>
        <a:xfrm>
          <a:off x="1416874" y="0"/>
          <a:ext cx="3461250" cy="117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71120" tIns="71120" rIns="71120" bIns="71120" numCol="1" spcCol="1270" anchor="b" anchorCtr="0">
          <a:noAutofit/>
        </a:bodyPr>
        <a:lstStyle/>
        <a:p>
          <a:pPr marL="0" lvl="0" indent="0" algn="l" defTabSz="1244600">
            <a:lnSpc>
              <a:spcPct val="90000"/>
            </a:lnSpc>
            <a:spcBef>
              <a:spcPct val="0"/>
            </a:spcBef>
            <a:spcAft>
              <a:spcPct val="35000"/>
            </a:spcAft>
            <a:buNone/>
          </a:pPr>
          <a:r>
            <a:rPr lang="en-AU" sz="2800" kern="1200"/>
            <a:t>Availability</a:t>
          </a:r>
        </a:p>
      </dsp:txBody>
      <dsp:txXfrm>
        <a:off x="1416874" y="0"/>
        <a:ext cx="3461250" cy="1170000"/>
      </dsp:txXfrm>
    </dsp:sp>
    <dsp:sp modelId="{5D69E8F9-EBD7-478D-A435-81A057FA2B28}">
      <dsp:nvSpPr>
        <dsp:cNvPr id="0" name=""/>
        <dsp:cNvSpPr/>
      </dsp:nvSpPr>
      <dsp:spPr>
        <a:xfrm>
          <a:off x="5121874" y="0"/>
          <a:ext cx="1170000" cy="1170000"/>
        </a:xfrm>
        <a:prstGeom prst="ellipse">
          <a:avLst/>
        </a:prstGeom>
        <a:solidFill>
          <a:schemeClr val="accent4">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457BE35F-21F8-4BA6-B3B2-2E3331527E52}">
      <dsp:nvSpPr>
        <dsp:cNvPr id="0" name=""/>
        <dsp:cNvSpPr/>
      </dsp:nvSpPr>
      <dsp:spPr>
        <a:xfrm>
          <a:off x="5238874" y="117000"/>
          <a:ext cx="936000" cy="936000"/>
        </a:xfrm>
        <a:prstGeom prst="chord">
          <a:avLst>
            <a:gd name="adj1" fmla="val 16200000"/>
            <a:gd name="adj2" fmla="val 16200000"/>
          </a:avLst>
        </a:prstGeom>
        <a:solidFill>
          <a:schemeClr val="lt1">
            <a:hueOff val="0"/>
            <a:satOff val="0"/>
            <a:lumOff val="0"/>
            <a:alphaOff val="0"/>
          </a:schemeClr>
        </a:solidFill>
        <a:ln w="12700" cap="flat" cmpd="sng" algn="ctr">
          <a:solidFill>
            <a:schemeClr val="accent4">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C5DE7F64-585B-4954-AD28-8328B672C457}">
      <dsp:nvSpPr>
        <dsp:cNvPr id="0" name=""/>
        <dsp:cNvSpPr/>
      </dsp:nvSpPr>
      <dsp:spPr>
        <a:xfrm>
          <a:off x="6535625" y="1170000"/>
          <a:ext cx="3461250" cy="4923749"/>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35560" tIns="35560" rIns="35560" bIns="35560" numCol="1" spcCol="1270" anchor="t" anchorCtr="0">
          <a:noAutofit/>
        </a:bodyPr>
        <a:lstStyle/>
        <a:p>
          <a:pPr marL="0" lvl="0" indent="0" algn="l" defTabSz="622300">
            <a:lnSpc>
              <a:spcPct val="90000"/>
            </a:lnSpc>
            <a:spcBef>
              <a:spcPct val="0"/>
            </a:spcBef>
            <a:spcAft>
              <a:spcPct val="35000"/>
            </a:spcAft>
            <a:buNone/>
          </a:pPr>
          <a:r>
            <a:rPr lang="en-AU" sz="1400" u="sng" kern="1200"/>
            <a:t>Tier 1-4 Applications</a:t>
          </a:r>
        </a:p>
        <a:p>
          <a:pPr marL="57150" lvl="1" indent="-57150" algn="l" defTabSz="488950">
            <a:lnSpc>
              <a:spcPct val="90000"/>
            </a:lnSpc>
            <a:spcBef>
              <a:spcPct val="0"/>
            </a:spcBef>
            <a:spcAft>
              <a:spcPct val="15000"/>
            </a:spcAft>
            <a:buChar char="•"/>
          </a:pPr>
          <a:r>
            <a:rPr lang="en-AU" sz="1100" kern="1200"/>
            <a:t>Use safe deployment practices to roll out updates to a minimal set of customers before deploying it widely. Use automation scripts to deploy updates with automatic roll back capability built in if there’s an issue with the update deployment.</a:t>
          </a:r>
        </a:p>
        <a:p>
          <a:pPr marL="57150" lvl="1" indent="-57150" algn="l" defTabSz="488950">
            <a:lnSpc>
              <a:spcPct val="90000"/>
            </a:lnSpc>
            <a:spcBef>
              <a:spcPct val="0"/>
            </a:spcBef>
            <a:spcAft>
              <a:spcPct val="15000"/>
            </a:spcAft>
            <a:buChar char="•"/>
          </a:pPr>
          <a:r>
            <a:rPr lang="en-AU" sz="1100" kern="1200"/>
            <a:t>Use automation scripts to deploy updates with automatic roll back capability built in if there’s an issue with the update deployment.</a:t>
          </a:r>
        </a:p>
        <a:p>
          <a:pPr marL="57150" lvl="1" indent="-57150" algn="l" defTabSz="488950">
            <a:lnSpc>
              <a:spcPct val="90000"/>
            </a:lnSpc>
            <a:spcBef>
              <a:spcPct val="0"/>
            </a:spcBef>
            <a:spcAft>
              <a:spcPct val="15000"/>
            </a:spcAft>
            <a:buChar char="•"/>
          </a:pPr>
          <a:r>
            <a:rPr lang="en-AU" sz="1100" kern="1200"/>
            <a:t>Configure alerts for issues that occur after an update deployment. If any occur, have an automated roll back script ready to execute.</a:t>
          </a:r>
        </a:p>
        <a:p>
          <a:pPr marL="57150" lvl="1" indent="-57150" algn="l" defTabSz="488950">
            <a:lnSpc>
              <a:spcPct val="90000"/>
            </a:lnSpc>
            <a:spcBef>
              <a:spcPct val="0"/>
            </a:spcBef>
            <a:spcAft>
              <a:spcPct val="15000"/>
            </a:spcAft>
            <a:buChar char="•"/>
          </a:pPr>
          <a:r>
            <a:rPr lang="en-AU" sz="1100" kern="1200"/>
            <a:t>Use Azure Backup's on-demand backup feature to take a backup of protected resources before an application deployment or upgrade activity. Use it restore quickly to the previous known state, in case of deployment failure.</a:t>
          </a:r>
        </a:p>
      </dsp:txBody>
      <dsp:txXfrm>
        <a:off x="6535625" y="1170000"/>
        <a:ext cx="3461250" cy="4923749"/>
      </dsp:txXfrm>
    </dsp:sp>
    <dsp:sp modelId="{3B4A4C5E-9CC5-40B3-AD5D-38F17B69982C}">
      <dsp:nvSpPr>
        <dsp:cNvPr id="0" name=""/>
        <dsp:cNvSpPr/>
      </dsp:nvSpPr>
      <dsp:spPr>
        <a:xfrm>
          <a:off x="6535625" y="0"/>
          <a:ext cx="3461250" cy="117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71120" tIns="71120" rIns="71120" bIns="71120" numCol="1" spcCol="1270" anchor="b" anchorCtr="0">
          <a:noAutofit/>
        </a:bodyPr>
        <a:lstStyle/>
        <a:p>
          <a:pPr marL="0" lvl="0" indent="0" algn="l" defTabSz="1244600">
            <a:lnSpc>
              <a:spcPct val="90000"/>
            </a:lnSpc>
            <a:spcBef>
              <a:spcPct val="0"/>
            </a:spcBef>
            <a:spcAft>
              <a:spcPct val="35000"/>
            </a:spcAft>
            <a:buNone/>
          </a:pPr>
          <a:r>
            <a:rPr lang="en-AU" sz="2800" kern="1200"/>
            <a:t>Recovery</a:t>
          </a:r>
        </a:p>
      </dsp:txBody>
      <dsp:txXfrm>
        <a:off x="6535625" y="0"/>
        <a:ext cx="3461250" cy="1170000"/>
      </dsp:txXfrm>
    </dsp:sp>
  </dsp:spTree>
</dsp:drawing>
</file>

<file path=xl/diagrams/drawing3.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11AC314-890B-473C-8F7B-00BBB4CA868D}">
      <dsp:nvSpPr>
        <dsp:cNvPr id="0" name=""/>
        <dsp:cNvSpPr/>
      </dsp:nvSpPr>
      <dsp:spPr>
        <a:xfrm>
          <a:off x="999999" y="0"/>
          <a:ext cx="1920000" cy="1920000"/>
        </a:xfrm>
        <a:prstGeom prst="ellipse">
          <a:avLst/>
        </a:prstGeom>
        <a:solidFill>
          <a:schemeClr val="accent4">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2B55EE49-E545-4E5D-8CA7-758ABD8F1037}">
      <dsp:nvSpPr>
        <dsp:cNvPr id="0" name=""/>
        <dsp:cNvSpPr/>
      </dsp:nvSpPr>
      <dsp:spPr>
        <a:xfrm>
          <a:off x="1191999" y="192000"/>
          <a:ext cx="1536000" cy="1536000"/>
        </a:xfrm>
        <a:prstGeom prst="chord">
          <a:avLst>
            <a:gd name="adj1" fmla="val 16200000"/>
            <a:gd name="adj2" fmla="val 16200000"/>
          </a:avLst>
        </a:prstGeom>
        <a:solidFill>
          <a:schemeClr val="lt1">
            <a:hueOff val="0"/>
            <a:satOff val="0"/>
            <a:lumOff val="0"/>
            <a:alphaOff val="0"/>
          </a:schemeClr>
        </a:solidFill>
        <a:ln w="12700" cap="flat" cmpd="sng" algn="ctr">
          <a:solidFill>
            <a:schemeClr val="accent4">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AC6BF7C1-5ECF-4DCC-B3E1-4A5389193B8C}">
      <dsp:nvSpPr>
        <dsp:cNvPr id="0" name=""/>
        <dsp:cNvSpPr/>
      </dsp:nvSpPr>
      <dsp:spPr>
        <a:xfrm>
          <a:off x="3319999" y="1920000"/>
          <a:ext cx="5680000" cy="808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93980" tIns="93980" rIns="93980" bIns="93980" numCol="1" spcCol="1270" anchor="t" anchorCtr="0">
          <a:noAutofit/>
        </a:bodyPr>
        <a:lstStyle/>
        <a:p>
          <a:pPr marL="0" lvl="0" indent="0" algn="l" defTabSz="1644650">
            <a:lnSpc>
              <a:spcPct val="90000"/>
            </a:lnSpc>
            <a:spcBef>
              <a:spcPct val="0"/>
            </a:spcBef>
            <a:spcAft>
              <a:spcPct val="35000"/>
            </a:spcAft>
            <a:buNone/>
          </a:pPr>
          <a:r>
            <a:rPr lang="en-AU" sz="3700" u="sng" kern="1200"/>
            <a:t>Tier 1-4 Applications</a:t>
          </a:r>
        </a:p>
        <a:p>
          <a:pPr marL="285750" lvl="1" indent="-285750" algn="l" defTabSz="1289050">
            <a:lnSpc>
              <a:spcPct val="90000"/>
            </a:lnSpc>
            <a:spcBef>
              <a:spcPct val="0"/>
            </a:spcBef>
            <a:spcAft>
              <a:spcPct val="15000"/>
            </a:spcAft>
            <a:buChar char="•"/>
          </a:pPr>
          <a:r>
            <a:rPr lang="en-AU" sz="2900" kern="1200"/>
            <a:t>To mitigate the risk of user lockout, use Conditional Access policies with multiple controls to give users a choice of how they will access apps and resources. By giving a user the choice between, for example, signing in with MFA or signing in from a managed device or signing in from the corporate network, if one of the access controls is unavailable the user has other options to continue to work.</a:t>
          </a:r>
        </a:p>
        <a:p>
          <a:pPr marL="285750" lvl="1" indent="-285750" algn="l" defTabSz="1289050">
            <a:lnSpc>
              <a:spcPct val="90000"/>
            </a:lnSpc>
            <a:spcBef>
              <a:spcPct val="0"/>
            </a:spcBef>
            <a:spcAft>
              <a:spcPct val="15000"/>
            </a:spcAft>
            <a:buChar char="•"/>
          </a:pPr>
          <a:r>
            <a:rPr lang="en-AU" sz="2900" kern="1200"/>
            <a:t>To mitigate the risk of user device failure, consider using Azure Virtual Desktop (AVD) for end user access to applications.</a:t>
          </a:r>
        </a:p>
      </dsp:txBody>
      <dsp:txXfrm>
        <a:off x="3319999" y="1920000"/>
        <a:ext cx="5680000" cy="8080000"/>
      </dsp:txXfrm>
    </dsp:sp>
    <dsp:sp modelId="{1764240F-41F9-42D2-8804-52DE5D0083C8}">
      <dsp:nvSpPr>
        <dsp:cNvPr id="0" name=""/>
        <dsp:cNvSpPr/>
      </dsp:nvSpPr>
      <dsp:spPr>
        <a:xfrm>
          <a:off x="3319999" y="0"/>
          <a:ext cx="5680000" cy="192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71120" tIns="71120" rIns="71120" bIns="71120" numCol="1" spcCol="1270" anchor="b" anchorCtr="0">
          <a:noAutofit/>
        </a:bodyPr>
        <a:lstStyle/>
        <a:p>
          <a:pPr marL="0" lvl="0" indent="0" algn="l" defTabSz="1244600">
            <a:lnSpc>
              <a:spcPct val="90000"/>
            </a:lnSpc>
            <a:spcBef>
              <a:spcPct val="0"/>
            </a:spcBef>
            <a:spcAft>
              <a:spcPct val="35000"/>
            </a:spcAft>
            <a:buNone/>
          </a:pPr>
          <a:r>
            <a:rPr lang="en-AU" sz="2800" kern="1200"/>
            <a:t>Availability</a:t>
          </a:r>
        </a:p>
      </dsp:txBody>
      <dsp:txXfrm>
        <a:off x="3319999" y="0"/>
        <a:ext cx="5680000" cy="1920000"/>
      </dsp:txXfrm>
    </dsp:sp>
  </dsp:spTree>
</dsp:drawing>
</file>

<file path=xl/diagrams/drawing4.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11AC314-890B-473C-8F7B-00BBB4CA868D}">
      <dsp:nvSpPr>
        <dsp:cNvPr id="0" name=""/>
        <dsp:cNvSpPr/>
      </dsp:nvSpPr>
      <dsp:spPr>
        <a:xfrm>
          <a:off x="999999" y="0"/>
          <a:ext cx="1920000" cy="1920000"/>
        </a:xfrm>
        <a:prstGeom prst="ellipse">
          <a:avLst/>
        </a:prstGeom>
        <a:solidFill>
          <a:schemeClr val="accent4">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2B55EE49-E545-4E5D-8CA7-758ABD8F1037}">
      <dsp:nvSpPr>
        <dsp:cNvPr id="0" name=""/>
        <dsp:cNvSpPr/>
      </dsp:nvSpPr>
      <dsp:spPr>
        <a:xfrm>
          <a:off x="1191999" y="192000"/>
          <a:ext cx="1536000" cy="1536000"/>
        </a:xfrm>
        <a:prstGeom prst="chord">
          <a:avLst>
            <a:gd name="adj1" fmla="val 16200000"/>
            <a:gd name="adj2" fmla="val 16200000"/>
          </a:avLst>
        </a:prstGeom>
        <a:solidFill>
          <a:schemeClr val="lt1">
            <a:hueOff val="0"/>
            <a:satOff val="0"/>
            <a:lumOff val="0"/>
            <a:alphaOff val="0"/>
          </a:schemeClr>
        </a:solidFill>
        <a:ln w="12700" cap="flat" cmpd="sng" algn="ctr">
          <a:solidFill>
            <a:schemeClr val="accent4">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AC6BF7C1-5ECF-4DCC-B3E1-4A5389193B8C}">
      <dsp:nvSpPr>
        <dsp:cNvPr id="0" name=""/>
        <dsp:cNvSpPr/>
      </dsp:nvSpPr>
      <dsp:spPr>
        <a:xfrm>
          <a:off x="3319999" y="1920000"/>
          <a:ext cx="5680000" cy="808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68580" tIns="68580" rIns="68580" bIns="68580" numCol="1" spcCol="1270" anchor="t" anchorCtr="0">
          <a:noAutofit/>
        </a:bodyPr>
        <a:lstStyle/>
        <a:p>
          <a:pPr marL="0" lvl="0" indent="0" algn="l" defTabSz="1200150">
            <a:lnSpc>
              <a:spcPct val="90000"/>
            </a:lnSpc>
            <a:spcBef>
              <a:spcPct val="0"/>
            </a:spcBef>
            <a:spcAft>
              <a:spcPct val="35000"/>
            </a:spcAft>
            <a:buNone/>
          </a:pPr>
          <a:r>
            <a:rPr lang="en-AU" sz="2700" u="sng" kern="1200"/>
            <a:t>Tier 1 Applications</a:t>
          </a:r>
        </a:p>
        <a:p>
          <a:pPr marL="228600" lvl="1" indent="-228600" algn="l" defTabSz="933450">
            <a:lnSpc>
              <a:spcPct val="90000"/>
            </a:lnSpc>
            <a:spcBef>
              <a:spcPct val="0"/>
            </a:spcBef>
            <a:spcAft>
              <a:spcPct val="15000"/>
            </a:spcAft>
            <a:buChar char="•"/>
          </a:pPr>
          <a:r>
            <a:rPr lang="en-AU" sz="2100" u="none" kern="1200"/>
            <a:t>Use Azure Site Recovery to replicate all the VMs in web tier and middle tier.</a:t>
          </a:r>
        </a:p>
        <a:p>
          <a:pPr marL="228600" lvl="1" indent="-228600" algn="l" defTabSz="933450">
            <a:lnSpc>
              <a:spcPct val="90000"/>
            </a:lnSpc>
            <a:spcBef>
              <a:spcPct val="0"/>
            </a:spcBef>
            <a:spcAft>
              <a:spcPct val="15000"/>
            </a:spcAft>
            <a:buChar char="•"/>
          </a:pPr>
          <a:r>
            <a:rPr lang="en-AU" sz="2100" u="none" kern="1200"/>
            <a:t>Use native replication technologies such as SQL Always On.</a:t>
          </a:r>
        </a:p>
        <a:p>
          <a:pPr marL="228600" lvl="1" indent="-228600" algn="l" defTabSz="933450">
            <a:lnSpc>
              <a:spcPct val="90000"/>
            </a:lnSpc>
            <a:spcBef>
              <a:spcPct val="0"/>
            </a:spcBef>
            <a:spcAft>
              <a:spcPct val="15000"/>
            </a:spcAft>
            <a:buChar char="•"/>
          </a:pPr>
          <a:r>
            <a:rPr lang="en-AU" sz="2100" u="none" kern="1200"/>
            <a:t>Test the disaster recovery of the complete application including SQL Always On failover using Azure Site Recovery recovery plans and Test failover capabilities.</a:t>
          </a:r>
        </a:p>
        <a:p>
          <a:pPr marL="228600" lvl="1" indent="-228600" algn="l" defTabSz="933450">
            <a:lnSpc>
              <a:spcPct val="90000"/>
            </a:lnSpc>
            <a:spcBef>
              <a:spcPct val="0"/>
            </a:spcBef>
            <a:spcAft>
              <a:spcPct val="15000"/>
            </a:spcAft>
            <a:buChar char="•"/>
          </a:pPr>
          <a:r>
            <a:rPr lang="en-AU" sz="2100" u="none" kern="1200"/>
            <a:t>Perform disaster recovery failover in the event of an extended outage in source region</a:t>
          </a:r>
          <a:br>
            <a:rPr lang="en-AU" sz="2100" u="none" kern="1200"/>
          </a:br>
          <a:endParaRPr lang="en-AU" sz="2100" u="none" kern="1200"/>
        </a:p>
        <a:p>
          <a:pPr marL="0" lvl="0" indent="0" algn="l" defTabSz="1200150">
            <a:lnSpc>
              <a:spcPct val="90000"/>
            </a:lnSpc>
            <a:spcBef>
              <a:spcPct val="0"/>
            </a:spcBef>
            <a:spcAft>
              <a:spcPct val="35000"/>
            </a:spcAft>
            <a:buNone/>
          </a:pPr>
          <a:r>
            <a:rPr lang="en-AU" sz="2700" u="sng" kern="1200"/>
            <a:t>Tier 2-4 Applications</a:t>
          </a:r>
          <a:endParaRPr lang="en-AU" sz="2700" u="none" kern="1200"/>
        </a:p>
        <a:p>
          <a:pPr marL="228600" lvl="1" indent="-228600" algn="l" defTabSz="933450">
            <a:lnSpc>
              <a:spcPct val="90000"/>
            </a:lnSpc>
            <a:spcBef>
              <a:spcPct val="0"/>
            </a:spcBef>
            <a:spcAft>
              <a:spcPct val="15000"/>
            </a:spcAft>
            <a:buChar char="•"/>
          </a:pPr>
          <a:r>
            <a:rPr lang="en-AU" sz="2100" u="none" kern="1200"/>
            <a:t>Use Azure Site Recovery to replicate the database VM.</a:t>
          </a:r>
        </a:p>
        <a:p>
          <a:pPr marL="228600" lvl="1" indent="-228600" algn="l" defTabSz="933450">
            <a:lnSpc>
              <a:spcPct val="90000"/>
            </a:lnSpc>
            <a:spcBef>
              <a:spcPct val="0"/>
            </a:spcBef>
            <a:spcAft>
              <a:spcPct val="15000"/>
            </a:spcAft>
            <a:buChar char="•"/>
          </a:pPr>
          <a:r>
            <a:rPr lang="en-AU" sz="2100" u="none" kern="1200"/>
            <a:t>Test the disaster recovery using Test failover and Azure Site Recovery recovery plans.</a:t>
          </a:r>
        </a:p>
        <a:p>
          <a:pPr marL="228600" lvl="1" indent="-228600" algn="l" defTabSz="933450">
            <a:lnSpc>
              <a:spcPct val="90000"/>
            </a:lnSpc>
            <a:spcBef>
              <a:spcPct val="0"/>
            </a:spcBef>
            <a:spcAft>
              <a:spcPct val="15000"/>
            </a:spcAft>
            <a:buChar char="•"/>
          </a:pPr>
          <a:r>
            <a:rPr lang="en-AU" sz="2100" u="none" kern="1200"/>
            <a:t>Perform disaster recovery failover in the event of an extended outage in source region.</a:t>
          </a:r>
        </a:p>
        <a:p>
          <a:pPr marL="228600" lvl="1" indent="-228600" algn="l" defTabSz="933450">
            <a:lnSpc>
              <a:spcPct val="90000"/>
            </a:lnSpc>
            <a:spcBef>
              <a:spcPct val="0"/>
            </a:spcBef>
            <a:spcAft>
              <a:spcPct val="15000"/>
            </a:spcAft>
            <a:buChar char="•"/>
          </a:pPr>
          <a:r>
            <a:rPr lang="en-AU" sz="2100" u="none" kern="1200"/>
            <a:t>Azure Backup's Cross Region Restore (CRR) lets you restore Azure VMs in a secondary paired region. You can restore your data in the secondary region anytime, during partial or full outages, or at the time you choose.</a:t>
          </a:r>
        </a:p>
      </dsp:txBody>
      <dsp:txXfrm>
        <a:off x="3319999" y="1920000"/>
        <a:ext cx="5680000" cy="8080000"/>
      </dsp:txXfrm>
    </dsp:sp>
    <dsp:sp modelId="{1764240F-41F9-42D2-8804-52DE5D0083C8}">
      <dsp:nvSpPr>
        <dsp:cNvPr id="0" name=""/>
        <dsp:cNvSpPr/>
      </dsp:nvSpPr>
      <dsp:spPr>
        <a:xfrm>
          <a:off x="3319999" y="0"/>
          <a:ext cx="5680000" cy="192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71120" tIns="71120" rIns="71120" bIns="71120" numCol="1" spcCol="1270" anchor="b" anchorCtr="0">
          <a:noAutofit/>
        </a:bodyPr>
        <a:lstStyle/>
        <a:p>
          <a:pPr marL="0" lvl="0" indent="0" algn="l" defTabSz="1244600">
            <a:lnSpc>
              <a:spcPct val="90000"/>
            </a:lnSpc>
            <a:spcBef>
              <a:spcPct val="0"/>
            </a:spcBef>
            <a:spcAft>
              <a:spcPct val="35000"/>
            </a:spcAft>
            <a:buNone/>
          </a:pPr>
          <a:r>
            <a:rPr lang="en-AU" sz="2800" kern="1200"/>
            <a:t>Recovery</a:t>
          </a:r>
        </a:p>
      </dsp:txBody>
      <dsp:txXfrm>
        <a:off x="3319999" y="0"/>
        <a:ext cx="5680000" cy="1920000"/>
      </dsp:txXfrm>
    </dsp:sp>
  </dsp:spTree>
</dsp:drawing>
</file>

<file path=xl/diagrams/drawing5.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11AC314-890B-473C-8F7B-00BBB4CA868D}">
      <dsp:nvSpPr>
        <dsp:cNvPr id="0" name=""/>
        <dsp:cNvSpPr/>
      </dsp:nvSpPr>
      <dsp:spPr>
        <a:xfrm>
          <a:off x="999999" y="0"/>
          <a:ext cx="1920000" cy="1920000"/>
        </a:xfrm>
        <a:prstGeom prst="ellipse">
          <a:avLst/>
        </a:prstGeom>
        <a:solidFill>
          <a:schemeClr val="accent4">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2B55EE49-E545-4E5D-8CA7-758ABD8F1037}">
      <dsp:nvSpPr>
        <dsp:cNvPr id="0" name=""/>
        <dsp:cNvSpPr/>
      </dsp:nvSpPr>
      <dsp:spPr>
        <a:xfrm>
          <a:off x="1191999" y="192000"/>
          <a:ext cx="1536000" cy="1536000"/>
        </a:xfrm>
        <a:prstGeom prst="chord">
          <a:avLst>
            <a:gd name="adj1" fmla="val 16200000"/>
            <a:gd name="adj2" fmla="val 16200000"/>
          </a:avLst>
        </a:prstGeom>
        <a:solidFill>
          <a:schemeClr val="lt1">
            <a:hueOff val="0"/>
            <a:satOff val="0"/>
            <a:lumOff val="0"/>
            <a:alphaOff val="0"/>
          </a:schemeClr>
        </a:solidFill>
        <a:ln w="12700" cap="flat" cmpd="sng" algn="ctr">
          <a:solidFill>
            <a:schemeClr val="accent4">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AC6BF7C1-5ECF-4DCC-B3E1-4A5389193B8C}">
      <dsp:nvSpPr>
        <dsp:cNvPr id="0" name=""/>
        <dsp:cNvSpPr/>
      </dsp:nvSpPr>
      <dsp:spPr>
        <a:xfrm>
          <a:off x="3319999" y="1920000"/>
          <a:ext cx="5680000" cy="808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101600" tIns="101600" rIns="101600" bIns="101600" numCol="1" spcCol="1270" anchor="t" anchorCtr="0">
          <a:noAutofit/>
        </a:bodyPr>
        <a:lstStyle/>
        <a:p>
          <a:pPr marL="0" lvl="0" indent="0" algn="l" defTabSz="1778000">
            <a:lnSpc>
              <a:spcPct val="90000"/>
            </a:lnSpc>
            <a:spcBef>
              <a:spcPct val="0"/>
            </a:spcBef>
            <a:spcAft>
              <a:spcPct val="35000"/>
            </a:spcAft>
            <a:buNone/>
          </a:pPr>
          <a:r>
            <a:rPr lang="en-AU" sz="4000" u="sng" kern="1200"/>
            <a:t>Tier 1-2 Applications</a:t>
          </a:r>
        </a:p>
        <a:p>
          <a:pPr marL="285750" lvl="1" indent="-285750" algn="l" defTabSz="1377950">
            <a:lnSpc>
              <a:spcPct val="90000"/>
            </a:lnSpc>
            <a:spcBef>
              <a:spcPct val="0"/>
            </a:spcBef>
            <a:spcAft>
              <a:spcPct val="15000"/>
            </a:spcAft>
            <a:buChar char="•"/>
          </a:pPr>
          <a:r>
            <a:rPr lang="en-AU" sz="3100" u="none" kern="1200"/>
            <a:t>Build redundancy by deploying two or more instances across availability zones within a region.</a:t>
          </a:r>
          <a:br>
            <a:rPr lang="en-AU" sz="3100" u="none" kern="1200"/>
          </a:br>
          <a:endParaRPr lang="en-AU" sz="3100" u="none" kern="1200"/>
        </a:p>
        <a:p>
          <a:pPr marL="0" lvl="0" indent="0" algn="l" defTabSz="1778000">
            <a:lnSpc>
              <a:spcPct val="90000"/>
            </a:lnSpc>
            <a:spcBef>
              <a:spcPct val="0"/>
            </a:spcBef>
            <a:spcAft>
              <a:spcPct val="35000"/>
            </a:spcAft>
            <a:buNone/>
          </a:pPr>
          <a:r>
            <a:rPr lang="en-AU" sz="4000" u="sng" kern="1200"/>
            <a:t>Tier 3-4 Applications</a:t>
          </a:r>
          <a:endParaRPr lang="en-AU" sz="4000" u="none" kern="1200"/>
        </a:p>
        <a:p>
          <a:pPr marL="285750" lvl="1" indent="-285750" algn="l" defTabSz="1377950">
            <a:lnSpc>
              <a:spcPct val="90000"/>
            </a:lnSpc>
            <a:spcBef>
              <a:spcPct val="0"/>
            </a:spcBef>
            <a:spcAft>
              <a:spcPct val="15000"/>
            </a:spcAft>
            <a:buChar char="•"/>
          </a:pPr>
          <a:r>
            <a:rPr lang="en-AU" sz="3100" u="none" kern="1200"/>
            <a:t>Use ready to use templates to deploy another instance using backup copies in another availability zone.</a:t>
          </a:r>
        </a:p>
        <a:p>
          <a:pPr marL="285750" lvl="1" indent="-285750" algn="l" defTabSz="1377950">
            <a:lnSpc>
              <a:spcPct val="90000"/>
            </a:lnSpc>
            <a:spcBef>
              <a:spcPct val="0"/>
            </a:spcBef>
            <a:spcAft>
              <a:spcPct val="15000"/>
            </a:spcAft>
            <a:buChar char="•"/>
          </a:pPr>
          <a:r>
            <a:rPr lang="en-AU" sz="3100" u="none" kern="1200"/>
            <a:t>Test templates by deploying VMs into a test subnet or a test virtual network in another zone.</a:t>
          </a:r>
        </a:p>
        <a:p>
          <a:pPr marL="285750" lvl="1" indent="-285750" algn="l" defTabSz="1377950">
            <a:lnSpc>
              <a:spcPct val="90000"/>
            </a:lnSpc>
            <a:spcBef>
              <a:spcPct val="0"/>
            </a:spcBef>
            <a:spcAft>
              <a:spcPct val="15000"/>
            </a:spcAft>
            <a:buChar char="•"/>
          </a:pPr>
          <a:endParaRPr lang="en-AU" sz="3100" u="none" kern="1200"/>
        </a:p>
      </dsp:txBody>
      <dsp:txXfrm>
        <a:off x="3319999" y="1920000"/>
        <a:ext cx="5680000" cy="8080000"/>
      </dsp:txXfrm>
    </dsp:sp>
    <dsp:sp modelId="{1764240F-41F9-42D2-8804-52DE5D0083C8}">
      <dsp:nvSpPr>
        <dsp:cNvPr id="0" name=""/>
        <dsp:cNvSpPr/>
      </dsp:nvSpPr>
      <dsp:spPr>
        <a:xfrm>
          <a:off x="3319999" y="0"/>
          <a:ext cx="5680000" cy="192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71120" tIns="71120" rIns="71120" bIns="71120" numCol="1" spcCol="1270" anchor="b" anchorCtr="0">
          <a:noAutofit/>
        </a:bodyPr>
        <a:lstStyle/>
        <a:p>
          <a:pPr marL="0" lvl="0" indent="0" algn="l" defTabSz="1244600">
            <a:lnSpc>
              <a:spcPct val="90000"/>
            </a:lnSpc>
            <a:spcBef>
              <a:spcPct val="0"/>
            </a:spcBef>
            <a:spcAft>
              <a:spcPct val="35000"/>
            </a:spcAft>
            <a:buNone/>
          </a:pPr>
          <a:r>
            <a:rPr lang="en-AU" sz="2800" kern="1200"/>
            <a:t>Availability</a:t>
          </a:r>
        </a:p>
      </dsp:txBody>
      <dsp:txXfrm>
        <a:off x="3319999" y="0"/>
        <a:ext cx="5680000" cy="1920000"/>
      </dsp:txXfrm>
    </dsp:sp>
  </dsp:spTree>
</dsp:drawing>
</file>

<file path=xl/diagrams/drawing6.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11AC314-890B-473C-8F7B-00BBB4CA868D}">
      <dsp:nvSpPr>
        <dsp:cNvPr id="0" name=""/>
        <dsp:cNvSpPr/>
      </dsp:nvSpPr>
      <dsp:spPr>
        <a:xfrm>
          <a:off x="999999" y="0"/>
          <a:ext cx="1920000" cy="1920000"/>
        </a:xfrm>
        <a:prstGeom prst="ellipse">
          <a:avLst/>
        </a:prstGeom>
        <a:solidFill>
          <a:schemeClr val="accent4">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2B55EE49-E545-4E5D-8CA7-758ABD8F1037}">
      <dsp:nvSpPr>
        <dsp:cNvPr id="0" name=""/>
        <dsp:cNvSpPr/>
      </dsp:nvSpPr>
      <dsp:spPr>
        <a:xfrm>
          <a:off x="1191999" y="192000"/>
          <a:ext cx="1536000" cy="1536000"/>
        </a:xfrm>
        <a:prstGeom prst="chord">
          <a:avLst>
            <a:gd name="adj1" fmla="val 16200000"/>
            <a:gd name="adj2" fmla="val 16200000"/>
          </a:avLst>
        </a:prstGeom>
        <a:solidFill>
          <a:schemeClr val="lt1">
            <a:hueOff val="0"/>
            <a:satOff val="0"/>
            <a:lumOff val="0"/>
            <a:alphaOff val="0"/>
          </a:schemeClr>
        </a:solidFill>
        <a:ln w="12700" cap="flat" cmpd="sng" algn="ctr">
          <a:solidFill>
            <a:schemeClr val="accent4">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AC6BF7C1-5ECF-4DCC-B3E1-4A5389193B8C}">
      <dsp:nvSpPr>
        <dsp:cNvPr id="0" name=""/>
        <dsp:cNvSpPr/>
      </dsp:nvSpPr>
      <dsp:spPr>
        <a:xfrm>
          <a:off x="3319999" y="1920000"/>
          <a:ext cx="5680000" cy="808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114300" tIns="114300" rIns="114300" bIns="114300" numCol="1" spcCol="1270" anchor="t" anchorCtr="0">
          <a:noAutofit/>
        </a:bodyPr>
        <a:lstStyle/>
        <a:p>
          <a:pPr marL="0" lvl="0" indent="0" algn="l" defTabSz="2000250">
            <a:lnSpc>
              <a:spcPct val="90000"/>
            </a:lnSpc>
            <a:spcBef>
              <a:spcPct val="0"/>
            </a:spcBef>
            <a:spcAft>
              <a:spcPct val="35000"/>
            </a:spcAft>
            <a:buNone/>
          </a:pPr>
          <a:r>
            <a:rPr lang="en-AU" sz="4500" u="sng" kern="1200"/>
            <a:t>Tier 1-2 Applications</a:t>
          </a:r>
        </a:p>
        <a:p>
          <a:pPr marL="285750" lvl="1" indent="-285750" algn="l" defTabSz="1555750">
            <a:lnSpc>
              <a:spcPct val="90000"/>
            </a:lnSpc>
            <a:spcBef>
              <a:spcPct val="0"/>
            </a:spcBef>
            <a:spcAft>
              <a:spcPct val="15000"/>
            </a:spcAft>
            <a:buChar char="•"/>
          </a:pPr>
          <a:r>
            <a:rPr lang="en-AU" sz="3500" u="none" kern="1200"/>
            <a:t>Build redundancy by deploying two or more instances across availability sets.</a:t>
          </a:r>
          <a:br>
            <a:rPr lang="en-AU" sz="3500" u="none" kern="1200"/>
          </a:br>
          <a:endParaRPr lang="en-AU" sz="3500" u="none" kern="1200"/>
        </a:p>
        <a:p>
          <a:pPr marL="0" lvl="0" indent="0" algn="l" defTabSz="2000250">
            <a:lnSpc>
              <a:spcPct val="90000"/>
            </a:lnSpc>
            <a:spcBef>
              <a:spcPct val="0"/>
            </a:spcBef>
            <a:spcAft>
              <a:spcPct val="35000"/>
            </a:spcAft>
            <a:buNone/>
          </a:pPr>
          <a:r>
            <a:rPr lang="en-AU" sz="4500" u="sng" kern="1200"/>
            <a:t>Tier 3-4 Applications</a:t>
          </a:r>
          <a:endParaRPr lang="en-AU" sz="4500" u="none" kern="1200"/>
        </a:p>
        <a:p>
          <a:pPr marL="285750" lvl="1" indent="-285750" algn="l" defTabSz="1555750">
            <a:lnSpc>
              <a:spcPct val="90000"/>
            </a:lnSpc>
            <a:spcBef>
              <a:spcPct val="0"/>
            </a:spcBef>
            <a:spcAft>
              <a:spcPct val="15000"/>
            </a:spcAft>
            <a:buChar char="•"/>
          </a:pPr>
          <a:r>
            <a:rPr lang="en-AU" sz="3500" u="none" kern="1200"/>
            <a:t>Use ready to use templates to deploy another instance using backup copies.</a:t>
          </a:r>
        </a:p>
        <a:p>
          <a:pPr marL="285750" lvl="1" indent="-285750" algn="l" defTabSz="1555750">
            <a:lnSpc>
              <a:spcPct val="90000"/>
            </a:lnSpc>
            <a:spcBef>
              <a:spcPct val="0"/>
            </a:spcBef>
            <a:spcAft>
              <a:spcPct val="15000"/>
            </a:spcAft>
            <a:buChar char="•"/>
          </a:pPr>
          <a:r>
            <a:rPr lang="en-AU" sz="3500" u="none" kern="1200"/>
            <a:t>Test templates by deploying VMs into a test subnet or a test virtual network.</a:t>
          </a:r>
        </a:p>
        <a:p>
          <a:pPr marL="285750" lvl="1" indent="-285750" algn="l" defTabSz="1555750">
            <a:lnSpc>
              <a:spcPct val="90000"/>
            </a:lnSpc>
            <a:spcBef>
              <a:spcPct val="0"/>
            </a:spcBef>
            <a:spcAft>
              <a:spcPct val="15000"/>
            </a:spcAft>
            <a:buChar char="•"/>
          </a:pPr>
          <a:endParaRPr lang="en-AU" sz="3500" u="none" kern="1200"/>
        </a:p>
      </dsp:txBody>
      <dsp:txXfrm>
        <a:off x="3319999" y="1920000"/>
        <a:ext cx="5680000" cy="8080000"/>
      </dsp:txXfrm>
    </dsp:sp>
    <dsp:sp modelId="{1764240F-41F9-42D2-8804-52DE5D0083C8}">
      <dsp:nvSpPr>
        <dsp:cNvPr id="0" name=""/>
        <dsp:cNvSpPr/>
      </dsp:nvSpPr>
      <dsp:spPr>
        <a:xfrm>
          <a:off x="3319999" y="0"/>
          <a:ext cx="5680000" cy="192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71120" tIns="71120" rIns="71120" bIns="71120" numCol="1" spcCol="1270" anchor="b" anchorCtr="0">
          <a:noAutofit/>
        </a:bodyPr>
        <a:lstStyle/>
        <a:p>
          <a:pPr marL="0" lvl="0" indent="0" algn="l" defTabSz="1244600">
            <a:lnSpc>
              <a:spcPct val="90000"/>
            </a:lnSpc>
            <a:spcBef>
              <a:spcPct val="0"/>
            </a:spcBef>
            <a:spcAft>
              <a:spcPct val="35000"/>
            </a:spcAft>
            <a:buNone/>
          </a:pPr>
          <a:r>
            <a:rPr lang="en-AU" sz="2800" kern="1200"/>
            <a:t>Availability</a:t>
          </a:r>
        </a:p>
      </dsp:txBody>
      <dsp:txXfrm>
        <a:off x="3319999" y="0"/>
        <a:ext cx="5680000" cy="1920000"/>
      </dsp:txXfrm>
    </dsp:sp>
  </dsp:spTree>
</dsp:drawing>
</file>

<file path=xl/diagrams/drawing7.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11AC314-890B-473C-8F7B-00BBB4CA868D}">
      <dsp:nvSpPr>
        <dsp:cNvPr id="0" name=""/>
        <dsp:cNvSpPr/>
      </dsp:nvSpPr>
      <dsp:spPr>
        <a:xfrm>
          <a:off x="999999" y="0"/>
          <a:ext cx="1920000" cy="1920000"/>
        </a:xfrm>
        <a:prstGeom prst="ellipse">
          <a:avLst/>
        </a:prstGeom>
        <a:solidFill>
          <a:schemeClr val="accent4">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2B55EE49-E545-4E5D-8CA7-758ABD8F1037}">
      <dsp:nvSpPr>
        <dsp:cNvPr id="0" name=""/>
        <dsp:cNvSpPr/>
      </dsp:nvSpPr>
      <dsp:spPr>
        <a:xfrm>
          <a:off x="1191999" y="192000"/>
          <a:ext cx="1536000" cy="1536000"/>
        </a:xfrm>
        <a:prstGeom prst="chord">
          <a:avLst>
            <a:gd name="adj1" fmla="val 16200000"/>
            <a:gd name="adj2" fmla="val 16200000"/>
          </a:avLst>
        </a:prstGeom>
        <a:solidFill>
          <a:schemeClr val="lt1">
            <a:hueOff val="0"/>
            <a:satOff val="0"/>
            <a:lumOff val="0"/>
            <a:alphaOff val="0"/>
          </a:schemeClr>
        </a:solidFill>
        <a:ln w="12700" cap="flat" cmpd="sng" algn="ctr">
          <a:solidFill>
            <a:schemeClr val="accent4">
              <a:shade val="8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AC6BF7C1-5ECF-4DCC-B3E1-4A5389193B8C}">
      <dsp:nvSpPr>
        <dsp:cNvPr id="0" name=""/>
        <dsp:cNvSpPr/>
      </dsp:nvSpPr>
      <dsp:spPr>
        <a:xfrm>
          <a:off x="3319999" y="1920000"/>
          <a:ext cx="5680000" cy="808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101600" tIns="101600" rIns="101600" bIns="101600" numCol="1" spcCol="1270" anchor="t" anchorCtr="0">
          <a:noAutofit/>
        </a:bodyPr>
        <a:lstStyle/>
        <a:p>
          <a:pPr marL="0" lvl="0" indent="0" algn="l" defTabSz="1778000">
            <a:lnSpc>
              <a:spcPct val="90000"/>
            </a:lnSpc>
            <a:spcBef>
              <a:spcPct val="0"/>
            </a:spcBef>
            <a:spcAft>
              <a:spcPct val="35000"/>
            </a:spcAft>
            <a:buNone/>
          </a:pPr>
          <a:r>
            <a:rPr lang="en-AU" sz="4000" u="sng" kern="1200"/>
            <a:t>Tier 1-2 Applications</a:t>
          </a:r>
        </a:p>
        <a:p>
          <a:pPr marL="285750" lvl="1" indent="-285750" algn="l" defTabSz="1377950">
            <a:lnSpc>
              <a:spcPct val="90000"/>
            </a:lnSpc>
            <a:spcBef>
              <a:spcPct val="0"/>
            </a:spcBef>
            <a:spcAft>
              <a:spcPct val="15000"/>
            </a:spcAft>
            <a:buChar char="•"/>
          </a:pPr>
          <a:r>
            <a:rPr lang="en-AU" sz="3100" u="none" kern="1200"/>
            <a:t>Provision enough capacity into the application.</a:t>
          </a:r>
        </a:p>
        <a:p>
          <a:pPr marL="285750" lvl="1" indent="-285750" algn="l" defTabSz="1377950">
            <a:lnSpc>
              <a:spcPct val="90000"/>
            </a:lnSpc>
            <a:spcBef>
              <a:spcPct val="0"/>
            </a:spcBef>
            <a:spcAft>
              <a:spcPct val="15000"/>
            </a:spcAft>
            <a:buChar char="•"/>
          </a:pPr>
          <a:r>
            <a:rPr lang="en-AU" sz="3100" u="none" kern="1200"/>
            <a:t>Use tools to monitor the load and add more instances automatically using scripts if the threshold is hit (say, 70%).</a:t>
          </a:r>
          <a:br>
            <a:rPr lang="en-AU" sz="3100" u="none" kern="1200"/>
          </a:br>
          <a:endParaRPr lang="en-AU" sz="3100" u="none" kern="1200"/>
        </a:p>
        <a:p>
          <a:pPr marL="0" lvl="0" indent="0" algn="l" defTabSz="1778000">
            <a:lnSpc>
              <a:spcPct val="90000"/>
            </a:lnSpc>
            <a:spcBef>
              <a:spcPct val="0"/>
            </a:spcBef>
            <a:spcAft>
              <a:spcPct val="35000"/>
            </a:spcAft>
            <a:buNone/>
          </a:pPr>
          <a:r>
            <a:rPr lang="en-AU" sz="4000" u="sng" kern="1200"/>
            <a:t>Tier 3-4 Applications</a:t>
          </a:r>
          <a:endParaRPr lang="en-AU" sz="4000" u="none" kern="1200"/>
        </a:p>
        <a:p>
          <a:pPr marL="285750" lvl="1" indent="-285750" algn="l" defTabSz="1377950">
            <a:lnSpc>
              <a:spcPct val="90000"/>
            </a:lnSpc>
            <a:spcBef>
              <a:spcPct val="0"/>
            </a:spcBef>
            <a:spcAft>
              <a:spcPct val="15000"/>
            </a:spcAft>
            <a:buChar char="•"/>
          </a:pPr>
          <a:r>
            <a:rPr lang="en-AU" sz="3100" u="none" kern="1200"/>
            <a:t>Use monitoring tools to identify any load surges on the VM.</a:t>
          </a:r>
        </a:p>
        <a:p>
          <a:pPr marL="285750" lvl="1" indent="-285750" algn="l" defTabSz="1377950">
            <a:lnSpc>
              <a:spcPct val="90000"/>
            </a:lnSpc>
            <a:spcBef>
              <a:spcPct val="0"/>
            </a:spcBef>
            <a:spcAft>
              <a:spcPct val="15000"/>
            </a:spcAft>
            <a:buChar char="•"/>
          </a:pPr>
          <a:r>
            <a:rPr lang="en-AU" sz="3100" u="none" kern="1200"/>
            <a:t>Increase the size of the VM or scale up by adding more instances.</a:t>
          </a:r>
        </a:p>
        <a:p>
          <a:pPr marL="285750" lvl="1" indent="-285750" algn="l" defTabSz="1377950">
            <a:lnSpc>
              <a:spcPct val="90000"/>
            </a:lnSpc>
            <a:spcBef>
              <a:spcPct val="0"/>
            </a:spcBef>
            <a:spcAft>
              <a:spcPct val="15000"/>
            </a:spcAft>
            <a:buChar char="•"/>
          </a:pPr>
          <a:endParaRPr lang="en-AU" sz="3100" u="none" kern="1200"/>
        </a:p>
      </dsp:txBody>
      <dsp:txXfrm>
        <a:off x="3319999" y="1920000"/>
        <a:ext cx="5680000" cy="8080000"/>
      </dsp:txXfrm>
    </dsp:sp>
    <dsp:sp modelId="{1764240F-41F9-42D2-8804-52DE5D0083C8}">
      <dsp:nvSpPr>
        <dsp:cNvPr id="0" name=""/>
        <dsp:cNvSpPr/>
      </dsp:nvSpPr>
      <dsp:spPr>
        <a:xfrm>
          <a:off x="3319999" y="0"/>
          <a:ext cx="5680000" cy="1920000"/>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71120" tIns="71120" rIns="71120" bIns="71120" numCol="1" spcCol="1270" anchor="b" anchorCtr="0">
          <a:noAutofit/>
        </a:bodyPr>
        <a:lstStyle/>
        <a:p>
          <a:pPr marL="0" lvl="0" indent="0" algn="l" defTabSz="1244600">
            <a:lnSpc>
              <a:spcPct val="90000"/>
            </a:lnSpc>
            <a:spcBef>
              <a:spcPct val="0"/>
            </a:spcBef>
            <a:spcAft>
              <a:spcPct val="35000"/>
            </a:spcAft>
            <a:buNone/>
          </a:pPr>
          <a:r>
            <a:rPr lang="en-AU" sz="2800" kern="1200"/>
            <a:t>Availability</a:t>
          </a:r>
        </a:p>
      </dsp:txBody>
      <dsp:txXfrm>
        <a:off x="3319999" y="0"/>
        <a:ext cx="5680000" cy="1920000"/>
      </dsp:txXfrm>
    </dsp:sp>
  </dsp:spTree>
</dsp:drawing>
</file>

<file path=xl/diagrams/drawing8.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5A44061F-F316-4777-8917-AB75CB9D3DCA}">
      <dsp:nvSpPr>
        <dsp:cNvPr id="0" name=""/>
        <dsp:cNvSpPr/>
      </dsp:nvSpPr>
      <dsp:spPr>
        <a:xfrm>
          <a:off x="3726" y="114907"/>
          <a:ext cx="2240487" cy="403200"/>
        </a:xfrm>
        <a:prstGeom prst="rect">
          <a:avLst/>
        </a:prstGeom>
        <a:solidFill>
          <a:srgbClr val="00A4EF"/>
        </a:solidFill>
        <a:ln w="12700" cap="flat" cmpd="sng" algn="ctr">
          <a:solidFill>
            <a:srgbClr val="00A4EF"/>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9568" tIns="56896" rIns="99568" bIns="56896" numCol="1" spcCol="1270" anchor="ctr" anchorCtr="0">
          <a:noAutofit/>
        </a:bodyPr>
        <a:lstStyle/>
        <a:p>
          <a:pPr marL="0" lvl="0" indent="0" algn="ctr" defTabSz="622300">
            <a:lnSpc>
              <a:spcPct val="90000"/>
            </a:lnSpc>
            <a:spcBef>
              <a:spcPct val="0"/>
            </a:spcBef>
            <a:spcAft>
              <a:spcPct val="35000"/>
            </a:spcAft>
            <a:buNone/>
          </a:pPr>
          <a:r>
            <a:rPr lang="en-AU" sz="1400" kern="1200">
              <a:solidFill>
                <a:schemeClr val="bg1"/>
              </a:solidFill>
            </a:rPr>
            <a:t>Responsible</a:t>
          </a:r>
        </a:p>
      </dsp:txBody>
      <dsp:txXfrm>
        <a:off x="3726" y="114907"/>
        <a:ext cx="2240487" cy="403200"/>
      </dsp:txXfrm>
    </dsp:sp>
    <dsp:sp modelId="{9A05DD15-B170-4D81-8F6E-9E9740C154F4}">
      <dsp:nvSpPr>
        <dsp:cNvPr id="0" name=""/>
        <dsp:cNvSpPr/>
      </dsp:nvSpPr>
      <dsp:spPr>
        <a:xfrm>
          <a:off x="3726" y="518108"/>
          <a:ext cx="2240487" cy="787815"/>
        </a:xfrm>
        <a:prstGeom prst="rect">
          <a:avLst/>
        </a:prstGeom>
        <a:noFill/>
        <a:ln w="12700" cap="flat" cmpd="sng" algn="ctr">
          <a:solidFill>
            <a:srgbClr val="00A4EF">
              <a:alpha val="90000"/>
            </a:srgb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74676" tIns="74676" rIns="99568" bIns="112014" numCol="1" spcCol="1270" anchor="ctr" anchorCtr="0">
          <a:noAutofit/>
        </a:bodyPr>
        <a:lstStyle/>
        <a:p>
          <a:pPr marL="114300" lvl="1" indent="-114300" algn="l" defTabSz="622300">
            <a:lnSpc>
              <a:spcPct val="90000"/>
            </a:lnSpc>
            <a:spcBef>
              <a:spcPct val="0"/>
            </a:spcBef>
            <a:spcAft>
              <a:spcPct val="15000"/>
            </a:spcAft>
            <a:buChar char="•"/>
          </a:pPr>
          <a:r>
            <a:rPr lang="en-AU" sz="1400" kern="1200"/>
            <a:t>Complete the task</a:t>
          </a:r>
        </a:p>
      </dsp:txBody>
      <dsp:txXfrm>
        <a:off x="3726" y="518108"/>
        <a:ext cx="2240487" cy="787815"/>
      </dsp:txXfrm>
    </dsp:sp>
    <dsp:sp modelId="{C7624C7F-80F5-4794-9807-5F62666794B8}">
      <dsp:nvSpPr>
        <dsp:cNvPr id="0" name=""/>
        <dsp:cNvSpPr/>
      </dsp:nvSpPr>
      <dsp:spPr>
        <a:xfrm>
          <a:off x="2557882" y="114907"/>
          <a:ext cx="2240487" cy="403200"/>
        </a:xfrm>
        <a:prstGeom prst="rect">
          <a:avLst/>
        </a:prstGeom>
        <a:solidFill>
          <a:srgbClr val="F25022"/>
        </a:solidFill>
        <a:ln w="12700" cap="flat" cmpd="sng" algn="ctr">
          <a:solidFill>
            <a:srgbClr val="F25022"/>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9568" tIns="56896" rIns="99568" bIns="56896" numCol="1" spcCol="1270" anchor="ctr" anchorCtr="0">
          <a:noAutofit/>
        </a:bodyPr>
        <a:lstStyle/>
        <a:p>
          <a:pPr marL="0" lvl="0" indent="0" algn="ctr" defTabSz="622300">
            <a:lnSpc>
              <a:spcPct val="90000"/>
            </a:lnSpc>
            <a:spcBef>
              <a:spcPct val="0"/>
            </a:spcBef>
            <a:spcAft>
              <a:spcPct val="35000"/>
            </a:spcAft>
            <a:buNone/>
          </a:pPr>
          <a:r>
            <a:rPr lang="en-AU" sz="1400" kern="1200"/>
            <a:t>Accountable</a:t>
          </a:r>
        </a:p>
      </dsp:txBody>
      <dsp:txXfrm>
        <a:off x="2557882" y="114907"/>
        <a:ext cx="2240487" cy="403200"/>
      </dsp:txXfrm>
    </dsp:sp>
    <dsp:sp modelId="{7184B92B-152B-4E93-AF37-F41BF3CF2E7B}">
      <dsp:nvSpPr>
        <dsp:cNvPr id="0" name=""/>
        <dsp:cNvSpPr/>
      </dsp:nvSpPr>
      <dsp:spPr>
        <a:xfrm>
          <a:off x="2557882" y="518108"/>
          <a:ext cx="2240487" cy="787815"/>
        </a:xfrm>
        <a:prstGeom prst="rect">
          <a:avLst/>
        </a:prstGeom>
        <a:noFill/>
        <a:ln w="12700" cap="flat" cmpd="sng" algn="ctr">
          <a:solidFill>
            <a:srgbClr val="F25022">
              <a:alpha val="90000"/>
            </a:srgb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74676" tIns="74676" rIns="99568" bIns="112014" numCol="1" spcCol="1270" anchor="ctr" anchorCtr="0">
          <a:noAutofit/>
        </a:bodyPr>
        <a:lstStyle/>
        <a:p>
          <a:pPr marL="114300" lvl="1" indent="-114300" algn="l" defTabSz="622300">
            <a:lnSpc>
              <a:spcPct val="90000"/>
            </a:lnSpc>
            <a:spcBef>
              <a:spcPct val="0"/>
            </a:spcBef>
            <a:spcAft>
              <a:spcPct val="15000"/>
            </a:spcAft>
            <a:buChar char="•"/>
          </a:pPr>
          <a:r>
            <a:rPr lang="en-AU" sz="1400" kern="1200">
              <a:solidFill>
                <a:schemeClr val="tx1"/>
              </a:solidFill>
            </a:rPr>
            <a:t>Own the task</a:t>
          </a:r>
        </a:p>
      </dsp:txBody>
      <dsp:txXfrm>
        <a:off x="2557882" y="518108"/>
        <a:ext cx="2240487" cy="787815"/>
      </dsp:txXfrm>
    </dsp:sp>
    <dsp:sp modelId="{89F6D989-5AAA-4527-B903-457FD1CE6265}">
      <dsp:nvSpPr>
        <dsp:cNvPr id="0" name=""/>
        <dsp:cNvSpPr/>
      </dsp:nvSpPr>
      <dsp:spPr>
        <a:xfrm>
          <a:off x="5112038" y="114907"/>
          <a:ext cx="2240487" cy="403200"/>
        </a:xfrm>
        <a:prstGeom prst="rect">
          <a:avLst/>
        </a:prstGeom>
        <a:solidFill>
          <a:srgbClr val="7FBA00"/>
        </a:solidFill>
        <a:ln w="12700" cap="flat" cmpd="sng" algn="ctr">
          <a:solidFill>
            <a:srgbClr val="7FBA00"/>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9568" tIns="56896" rIns="99568" bIns="56896" numCol="1" spcCol="1270" anchor="ctr" anchorCtr="0">
          <a:noAutofit/>
        </a:bodyPr>
        <a:lstStyle/>
        <a:p>
          <a:pPr marL="0" lvl="0" indent="0" algn="ctr" defTabSz="622300">
            <a:lnSpc>
              <a:spcPct val="90000"/>
            </a:lnSpc>
            <a:spcBef>
              <a:spcPct val="0"/>
            </a:spcBef>
            <a:spcAft>
              <a:spcPct val="35000"/>
            </a:spcAft>
            <a:buNone/>
          </a:pPr>
          <a:r>
            <a:rPr lang="en-AU" sz="1400" kern="1200">
              <a:solidFill>
                <a:schemeClr val="tx1"/>
              </a:solidFill>
            </a:rPr>
            <a:t>Consulted</a:t>
          </a:r>
        </a:p>
      </dsp:txBody>
      <dsp:txXfrm>
        <a:off x="5112038" y="114907"/>
        <a:ext cx="2240487" cy="403200"/>
      </dsp:txXfrm>
    </dsp:sp>
    <dsp:sp modelId="{42B85DF0-7D82-4C51-8CEF-9963587F46EE}">
      <dsp:nvSpPr>
        <dsp:cNvPr id="0" name=""/>
        <dsp:cNvSpPr/>
      </dsp:nvSpPr>
      <dsp:spPr>
        <a:xfrm>
          <a:off x="5112038" y="518108"/>
          <a:ext cx="2240487" cy="787815"/>
        </a:xfrm>
        <a:prstGeom prst="rect">
          <a:avLst/>
        </a:prstGeom>
        <a:noFill/>
        <a:ln w="12700" cap="flat" cmpd="sng" algn="ctr">
          <a:solidFill>
            <a:srgbClr val="7FBA00">
              <a:alpha val="90000"/>
            </a:srgb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74676" tIns="74676" rIns="99568" bIns="112014" numCol="1" spcCol="1270" anchor="ctr" anchorCtr="0">
          <a:noAutofit/>
        </a:bodyPr>
        <a:lstStyle/>
        <a:p>
          <a:pPr marL="114300" lvl="1" indent="-114300" algn="l" defTabSz="622300">
            <a:lnSpc>
              <a:spcPct val="90000"/>
            </a:lnSpc>
            <a:spcBef>
              <a:spcPct val="0"/>
            </a:spcBef>
            <a:spcAft>
              <a:spcPct val="15000"/>
            </a:spcAft>
            <a:buChar char="•"/>
          </a:pPr>
          <a:r>
            <a:rPr lang="en-AU" sz="1400" i="1" kern="1200"/>
            <a:t>Typically subject-matter experts that are consulted to complete a task</a:t>
          </a:r>
          <a:endParaRPr lang="en-AU" sz="1400" kern="1200"/>
        </a:p>
      </dsp:txBody>
      <dsp:txXfrm>
        <a:off x="5112038" y="518108"/>
        <a:ext cx="2240487" cy="787815"/>
      </dsp:txXfrm>
    </dsp:sp>
    <dsp:sp modelId="{15714AC1-2384-46C7-8118-F7EFD1989040}">
      <dsp:nvSpPr>
        <dsp:cNvPr id="0" name=""/>
        <dsp:cNvSpPr/>
      </dsp:nvSpPr>
      <dsp:spPr>
        <a:xfrm>
          <a:off x="7666194" y="114907"/>
          <a:ext cx="2240487" cy="403200"/>
        </a:xfrm>
        <a:prstGeom prst="rect">
          <a:avLst/>
        </a:prstGeom>
        <a:solidFill>
          <a:srgbClr val="FFB900"/>
        </a:solidFill>
        <a:ln w="12700" cap="flat" cmpd="sng" algn="ctr">
          <a:solidFill>
            <a:srgbClr val="FFB900"/>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9568" tIns="56896" rIns="99568" bIns="56896" numCol="1" spcCol="1270" anchor="ctr" anchorCtr="0">
          <a:noAutofit/>
        </a:bodyPr>
        <a:lstStyle/>
        <a:p>
          <a:pPr marL="0" lvl="0" indent="0" algn="ctr" defTabSz="622300">
            <a:lnSpc>
              <a:spcPct val="90000"/>
            </a:lnSpc>
            <a:spcBef>
              <a:spcPct val="0"/>
            </a:spcBef>
            <a:spcAft>
              <a:spcPct val="35000"/>
            </a:spcAft>
            <a:buNone/>
          </a:pPr>
          <a:r>
            <a:rPr lang="en-AU" sz="1400" kern="1200">
              <a:solidFill>
                <a:schemeClr val="tx1"/>
              </a:solidFill>
            </a:rPr>
            <a:t>Informed</a:t>
          </a:r>
        </a:p>
      </dsp:txBody>
      <dsp:txXfrm>
        <a:off x="7666194" y="114907"/>
        <a:ext cx="2240487" cy="403200"/>
      </dsp:txXfrm>
    </dsp:sp>
    <dsp:sp modelId="{89ADEE0E-7897-4747-8912-30893656F95F}">
      <dsp:nvSpPr>
        <dsp:cNvPr id="0" name=""/>
        <dsp:cNvSpPr/>
      </dsp:nvSpPr>
      <dsp:spPr>
        <a:xfrm>
          <a:off x="7666194" y="518108"/>
          <a:ext cx="2240487" cy="787815"/>
        </a:xfrm>
        <a:prstGeom prst="rect">
          <a:avLst/>
        </a:prstGeom>
        <a:noFill/>
        <a:ln w="12700" cap="flat" cmpd="sng" algn="ctr">
          <a:solidFill>
            <a:srgbClr val="FFB900">
              <a:alpha val="90000"/>
            </a:srgb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74676" tIns="74676" rIns="99568" bIns="112014" numCol="1" spcCol="1270" anchor="ctr" anchorCtr="0">
          <a:noAutofit/>
        </a:bodyPr>
        <a:lstStyle/>
        <a:p>
          <a:pPr marL="114300" lvl="1" indent="-114300" algn="l" defTabSz="622300">
            <a:lnSpc>
              <a:spcPct val="90000"/>
            </a:lnSpc>
            <a:spcBef>
              <a:spcPct val="0"/>
            </a:spcBef>
            <a:spcAft>
              <a:spcPct val="15000"/>
            </a:spcAft>
            <a:buChar char="•"/>
          </a:pPr>
          <a:r>
            <a:rPr lang="en-AU" sz="1400" kern="1200"/>
            <a:t>Impacted by the task and are provided status and informed of decisions</a:t>
          </a:r>
        </a:p>
      </dsp:txBody>
      <dsp:txXfrm>
        <a:off x="7666194" y="518108"/>
        <a:ext cx="2240487" cy="787815"/>
      </dsp:txXfrm>
    </dsp:sp>
  </dsp:spTree>
</dsp:drawing>
</file>

<file path=xl/diagrams/drawing9.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28358CB6-AFF6-4A5C-92FB-F4E9CAF39A44}">
      <dsp:nvSpPr>
        <dsp:cNvPr id="0" name=""/>
        <dsp:cNvSpPr/>
      </dsp:nvSpPr>
      <dsp:spPr>
        <a:xfrm>
          <a:off x="0" y="0"/>
          <a:ext cx="6481517" cy="6481517"/>
        </a:xfrm>
        <a:prstGeom prst="pie">
          <a:avLst>
            <a:gd name="adj1" fmla="val 5400000"/>
            <a:gd name="adj2" fmla="val 16200000"/>
          </a:avLst>
        </a:prstGeom>
        <a:gradFill rotWithShape="0">
          <a:gsLst>
            <a:gs pos="0">
              <a:srgbClr val="F25022"/>
            </a:gs>
            <a:gs pos="80000">
              <a:srgbClr val="FFB900"/>
            </a:gs>
            <a:gs pos="94000">
              <a:schemeClr val="bg1"/>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9E04B39F-2D8C-44C6-9887-A3E64574A0F6}">
      <dsp:nvSpPr>
        <dsp:cNvPr id="0" name=""/>
        <dsp:cNvSpPr/>
      </dsp:nvSpPr>
      <dsp:spPr>
        <a:xfrm>
          <a:off x="3240758" y="0"/>
          <a:ext cx="8626309" cy="6481517"/>
        </a:xfrm>
        <a:prstGeom prst="rect">
          <a:avLst/>
        </a:prstGeom>
        <a:solidFill>
          <a:schemeClr val="lt1">
            <a:alpha val="90000"/>
            <a:hueOff val="0"/>
            <a:satOff val="0"/>
            <a:lumOff val="0"/>
            <a:alphaOff val="0"/>
          </a:schemeClr>
        </a:solidFill>
        <a:ln w="12700" cap="flat" cmpd="sng" algn="ctr">
          <a:solidFill>
            <a:schemeClr val="bg1">
              <a:lumMod val="9500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118110" tIns="118110" rIns="118110" bIns="118110" numCol="1" spcCol="1270" anchor="ctr" anchorCtr="0">
          <a:noAutofit/>
        </a:bodyPr>
        <a:lstStyle/>
        <a:p>
          <a:pPr marL="0" lvl="0" indent="0" algn="ctr" defTabSz="1377950">
            <a:lnSpc>
              <a:spcPct val="90000"/>
            </a:lnSpc>
            <a:spcBef>
              <a:spcPct val="0"/>
            </a:spcBef>
            <a:spcAft>
              <a:spcPct val="35000"/>
            </a:spcAft>
            <a:buNone/>
          </a:pPr>
          <a:r>
            <a:rPr lang="en-AU" sz="3100" kern="1200"/>
            <a:t>Global </a:t>
          </a:r>
          <a:r>
            <a:rPr lang="en-AU" sz="3100" kern="1200" baseline="30000"/>
            <a:t>1</a:t>
          </a:r>
        </a:p>
      </dsp:txBody>
      <dsp:txXfrm>
        <a:off x="3240758" y="0"/>
        <a:ext cx="4313154" cy="810191"/>
      </dsp:txXfrm>
    </dsp:sp>
    <dsp:sp modelId="{A5EB401D-D85B-4860-BD6E-93EDFC523510}">
      <dsp:nvSpPr>
        <dsp:cNvPr id="0" name=""/>
        <dsp:cNvSpPr/>
      </dsp:nvSpPr>
      <dsp:spPr>
        <a:xfrm>
          <a:off x="567133" y="810191"/>
          <a:ext cx="5347250" cy="5347250"/>
        </a:xfrm>
        <a:prstGeom prst="pie">
          <a:avLst>
            <a:gd name="adj1" fmla="val 5400000"/>
            <a:gd name="adj2" fmla="val 16200000"/>
          </a:avLst>
        </a:prstGeom>
        <a:gradFill rotWithShape="0">
          <a:gsLst>
            <a:gs pos="0">
              <a:srgbClr val="F25022"/>
            </a:gs>
            <a:gs pos="60000">
              <a:srgbClr val="FFB900"/>
            </a:gs>
            <a:gs pos="94000">
              <a:sysClr val="window" lastClr="FFFFFF"/>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3D0D1CC1-83A9-4EF8-A4BE-15C2694FA637}">
      <dsp:nvSpPr>
        <dsp:cNvPr id="0" name=""/>
        <dsp:cNvSpPr/>
      </dsp:nvSpPr>
      <dsp:spPr>
        <a:xfrm>
          <a:off x="3240758" y="810191"/>
          <a:ext cx="8626309" cy="5347250"/>
        </a:xfrm>
        <a:prstGeom prst="rect">
          <a:avLst/>
        </a:prstGeom>
        <a:solidFill>
          <a:schemeClr val="lt1">
            <a:alpha val="90000"/>
            <a:hueOff val="0"/>
            <a:satOff val="0"/>
            <a:lumOff val="0"/>
            <a:alphaOff val="0"/>
          </a:schemeClr>
        </a:solidFill>
        <a:ln w="12700" cap="flat" cmpd="sng" algn="ctr">
          <a:solidFill>
            <a:schemeClr val="bg1">
              <a:lumMod val="9500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118110" tIns="118110" rIns="118110" bIns="118110" numCol="1" spcCol="1270" anchor="ctr" anchorCtr="0">
          <a:noAutofit/>
        </a:bodyPr>
        <a:lstStyle/>
        <a:p>
          <a:pPr marL="0" lvl="0" indent="0" algn="ctr" defTabSz="1377950">
            <a:lnSpc>
              <a:spcPct val="90000"/>
            </a:lnSpc>
            <a:spcBef>
              <a:spcPct val="0"/>
            </a:spcBef>
            <a:spcAft>
              <a:spcPct val="35000"/>
            </a:spcAft>
            <a:buNone/>
          </a:pPr>
          <a:r>
            <a:rPr lang="en-AU" sz="3100" kern="1200"/>
            <a:t>Azure Geography </a:t>
          </a:r>
          <a:r>
            <a:rPr lang="en-AU" sz="3100" kern="1200" baseline="30000"/>
            <a:t>1</a:t>
          </a:r>
          <a:endParaRPr lang="en-AU" sz="3100" kern="1200"/>
        </a:p>
      </dsp:txBody>
      <dsp:txXfrm>
        <a:off x="3240758" y="810191"/>
        <a:ext cx="4313154" cy="810192"/>
      </dsp:txXfrm>
    </dsp:sp>
    <dsp:sp modelId="{2B06710F-6B26-4AA9-A9F6-CE6C07F6889F}">
      <dsp:nvSpPr>
        <dsp:cNvPr id="0" name=""/>
        <dsp:cNvSpPr/>
      </dsp:nvSpPr>
      <dsp:spPr>
        <a:xfrm>
          <a:off x="1134267" y="1620383"/>
          <a:ext cx="4212982" cy="4212982"/>
        </a:xfrm>
        <a:prstGeom prst="pie">
          <a:avLst>
            <a:gd name="adj1" fmla="val 5400000"/>
            <a:gd name="adj2" fmla="val 16200000"/>
          </a:avLst>
        </a:prstGeom>
        <a:gradFill rotWithShape="0">
          <a:gsLst>
            <a:gs pos="0">
              <a:srgbClr val="F25022"/>
            </a:gs>
            <a:gs pos="40000">
              <a:srgbClr val="FFB900"/>
            </a:gs>
            <a:gs pos="94000">
              <a:sysClr val="window" lastClr="FFFFFF"/>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B0584776-AEF5-4898-BD24-0D096271A19B}">
      <dsp:nvSpPr>
        <dsp:cNvPr id="0" name=""/>
        <dsp:cNvSpPr/>
      </dsp:nvSpPr>
      <dsp:spPr>
        <a:xfrm>
          <a:off x="3240758" y="1620383"/>
          <a:ext cx="8626309" cy="4212982"/>
        </a:xfrm>
        <a:prstGeom prst="rect">
          <a:avLst/>
        </a:prstGeom>
        <a:solidFill>
          <a:schemeClr val="lt1">
            <a:alpha val="90000"/>
            <a:hueOff val="0"/>
            <a:satOff val="0"/>
            <a:lumOff val="0"/>
            <a:alphaOff val="0"/>
          </a:schemeClr>
        </a:solidFill>
        <a:ln w="12700" cap="flat" cmpd="sng" algn="ctr">
          <a:solidFill>
            <a:schemeClr val="bg1">
              <a:lumMod val="9500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118110" tIns="118110" rIns="118110" bIns="118110" numCol="1" spcCol="1270" anchor="ctr" anchorCtr="0">
          <a:noAutofit/>
        </a:bodyPr>
        <a:lstStyle/>
        <a:p>
          <a:pPr marL="0" lvl="0" indent="0" algn="ctr" defTabSz="1377950">
            <a:lnSpc>
              <a:spcPct val="90000"/>
            </a:lnSpc>
            <a:spcBef>
              <a:spcPct val="0"/>
            </a:spcBef>
            <a:spcAft>
              <a:spcPct val="35000"/>
            </a:spcAft>
            <a:buNone/>
          </a:pPr>
          <a:r>
            <a:rPr lang="en-AU" sz="3100" kern="1200"/>
            <a:t>Azure Region </a:t>
          </a:r>
          <a:r>
            <a:rPr lang="en-AU" sz="3100" kern="1200" baseline="30000"/>
            <a:t>1</a:t>
          </a:r>
          <a:endParaRPr lang="en-AU" sz="3100" kern="1200"/>
        </a:p>
      </dsp:txBody>
      <dsp:txXfrm>
        <a:off x="3240758" y="1620383"/>
        <a:ext cx="4313154" cy="810185"/>
      </dsp:txXfrm>
    </dsp:sp>
    <dsp:sp modelId="{FD00EA66-7CF4-48FF-BE12-A353301B4083}">
      <dsp:nvSpPr>
        <dsp:cNvPr id="0" name=""/>
        <dsp:cNvSpPr/>
      </dsp:nvSpPr>
      <dsp:spPr>
        <a:xfrm>
          <a:off x="1701398" y="2430569"/>
          <a:ext cx="3078721" cy="3078721"/>
        </a:xfrm>
        <a:prstGeom prst="pie">
          <a:avLst>
            <a:gd name="adj1" fmla="val 5400000"/>
            <a:gd name="adj2" fmla="val 16200000"/>
          </a:avLst>
        </a:prstGeom>
        <a:gradFill rotWithShape="0">
          <a:gsLst>
            <a:gs pos="0">
              <a:srgbClr val="F25022"/>
            </a:gs>
            <a:gs pos="20000">
              <a:srgbClr val="FFB900"/>
            </a:gs>
            <a:gs pos="94000">
              <a:sysClr val="window" lastClr="FFFFFF"/>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387D250D-7F11-4A49-9597-EE329407BAEB}">
      <dsp:nvSpPr>
        <dsp:cNvPr id="0" name=""/>
        <dsp:cNvSpPr/>
      </dsp:nvSpPr>
      <dsp:spPr>
        <a:xfrm>
          <a:off x="3240758" y="2398827"/>
          <a:ext cx="8626309" cy="3078721"/>
        </a:xfrm>
        <a:prstGeom prst="rect">
          <a:avLst/>
        </a:prstGeom>
        <a:solidFill>
          <a:schemeClr val="lt1">
            <a:alpha val="90000"/>
            <a:hueOff val="0"/>
            <a:satOff val="0"/>
            <a:lumOff val="0"/>
            <a:alphaOff val="0"/>
          </a:schemeClr>
        </a:solidFill>
        <a:ln w="12700" cap="flat" cmpd="sng" algn="ctr">
          <a:solidFill>
            <a:schemeClr val="bg1">
              <a:lumMod val="9500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118110" tIns="118110" rIns="118110" bIns="118110" numCol="1" spcCol="1270" anchor="ctr" anchorCtr="0">
          <a:noAutofit/>
        </a:bodyPr>
        <a:lstStyle/>
        <a:p>
          <a:pPr marL="0" lvl="0" indent="0" algn="ctr" defTabSz="1377950">
            <a:lnSpc>
              <a:spcPct val="90000"/>
            </a:lnSpc>
            <a:spcBef>
              <a:spcPct val="0"/>
            </a:spcBef>
            <a:spcAft>
              <a:spcPct val="35000"/>
            </a:spcAft>
            <a:buNone/>
          </a:pPr>
          <a:r>
            <a:rPr lang="en-AU" sz="3100" kern="1200"/>
            <a:t>Azure Zone </a:t>
          </a:r>
          <a:r>
            <a:rPr lang="en-AU" sz="3100" kern="1200" baseline="30000"/>
            <a:t>1</a:t>
          </a:r>
          <a:endParaRPr lang="en-AU" sz="3100" kern="1200"/>
        </a:p>
      </dsp:txBody>
      <dsp:txXfrm>
        <a:off x="3240758" y="2398827"/>
        <a:ext cx="4313154" cy="810191"/>
      </dsp:txXfrm>
    </dsp:sp>
    <dsp:sp modelId="{CC2B52F7-A182-4ACE-B7F4-BD1493E3F065}">
      <dsp:nvSpPr>
        <dsp:cNvPr id="0" name=""/>
        <dsp:cNvSpPr/>
      </dsp:nvSpPr>
      <dsp:spPr>
        <a:xfrm>
          <a:off x="2268532" y="3240760"/>
          <a:ext cx="1944453" cy="1944453"/>
        </a:xfrm>
        <a:prstGeom prst="pie">
          <a:avLst>
            <a:gd name="adj1" fmla="val 5400000"/>
            <a:gd name="adj2" fmla="val 16200000"/>
          </a:avLst>
        </a:prstGeom>
        <a:gradFill rotWithShape="0">
          <a:gsLst>
            <a:gs pos="0">
              <a:srgbClr val="F25022"/>
            </a:gs>
            <a:gs pos="10000">
              <a:srgbClr val="FFB900"/>
            </a:gs>
            <a:gs pos="94000">
              <a:sysClr val="window" lastClr="FFFFFF"/>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D1D234B6-D659-408E-A3D7-47D5A3C989AE}">
      <dsp:nvSpPr>
        <dsp:cNvPr id="0" name=""/>
        <dsp:cNvSpPr/>
      </dsp:nvSpPr>
      <dsp:spPr>
        <a:xfrm>
          <a:off x="3240758" y="3240760"/>
          <a:ext cx="8626309" cy="1944453"/>
        </a:xfrm>
        <a:prstGeom prst="rect">
          <a:avLst/>
        </a:prstGeom>
        <a:solidFill>
          <a:schemeClr val="lt1">
            <a:alpha val="90000"/>
            <a:hueOff val="0"/>
            <a:satOff val="0"/>
            <a:lumOff val="0"/>
            <a:alphaOff val="0"/>
          </a:schemeClr>
        </a:solidFill>
        <a:ln w="12700" cap="flat" cmpd="sng" algn="ctr">
          <a:solidFill>
            <a:schemeClr val="bg1">
              <a:lumMod val="9500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118110" tIns="118110" rIns="118110" bIns="118110" numCol="1" spcCol="1270" anchor="ctr" anchorCtr="0">
          <a:noAutofit/>
        </a:bodyPr>
        <a:lstStyle/>
        <a:p>
          <a:pPr marL="0" lvl="0" indent="0" algn="ctr" defTabSz="1377950">
            <a:lnSpc>
              <a:spcPct val="90000"/>
            </a:lnSpc>
            <a:spcBef>
              <a:spcPct val="0"/>
            </a:spcBef>
            <a:spcAft>
              <a:spcPct val="35000"/>
            </a:spcAft>
            <a:buNone/>
          </a:pPr>
          <a:r>
            <a:rPr lang="en-AU" sz="3100" kern="1200"/>
            <a:t>Azure Service Instance </a:t>
          </a:r>
          <a:r>
            <a:rPr lang="en-AU" sz="3100" kern="1200" baseline="30000"/>
            <a:t>1</a:t>
          </a:r>
          <a:endParaRPr lang="en-AU" sz="3100" kern="1200"/>
        </a:p>
      </dsp:txBody>
      <dsp:txXfrm>
        <a:off x="3240758" y="3240760"/>
        <a:ext cx="4313154" cy="810192"/>
      </dsp:txXfrm>
    </dsp:sp>
    <dsp:sp modelId="{83EF4FD9-96EB-43EB-9EFA-5F86428E3303}">
      <dsp:nvSpPr>
        <dsp:cNvPr id="0" name=""/>
        <dsp:cNvSpPr/>
      </dsp:nvSpPr>
      <dsp:spPr>
        <a:xfrm>
          <a:off x="2835666" y="4050952"/>
          <a:ext cx="810185" cy="810185"/>
        </a:xfrm>
        <a:prstGeom prst="pie">
          <a:avLst>
            <a:gd name="adj1" fmla="val 5400000"/>
            <a:gd name="adj2" fmla="val 16200000"/>
          </a:avLst>
        </a:prstGeom>
        <a:solidFill>
          <a:schemeClr val="accent2">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0826D31C-7E95-4C3C-82E7-906612B7B680}">
      <dsp:nvSpPr>
        <dsp:cNvPr id="0" name=""/>
        <dsp:cNvSpPr/>
      </dsp:nvSpPr>
      <dsp:spPr>
        <a:xfrm>
          <a:off x="3240758" y="4050952"/>
          <a:ext cx="8626309" cy="810185"/>
        </a:xfrm>
        <a:prstGeom prst="rect">
          <a:avLst/>
        </a:prstGeom>
        <a:solidFill>
          <a:schemeClr val="lt1">
            <a:alpha val="90000"/>
            <a:hueOff val="0"/>
            <a:satOff val="0"/>
            <a:lumOff val="0"/>
            <a:alphaOff val="0"/>
          </a:schemeClr>
        </a:solidFill>
        <a:ln w="12700" cap="flat" cmpd="sng" algn="ctr">
          <a:solidFill>
            <a:schemeClr val="bg1">
              <a:lumMod val="9500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118110" tIns="118110" rIns="118110" bIns="118110" numCol="1" spcCol="1270" anchor="ctr" anchorCtr="0">
          <a:noAutofit/>
        </a:bodyPr>
        <a:lstStyle/>
        <a:p>
          <a:pPr marL="0" lvl="0" indent="0" algn="ctr" defTabSz="1377950">
            <a:lnSpc>
              <a:spcPct val="90000"/>
            </a:lnSpc>
            <a:spcBef>
              <a:spcPct val="0"/>
            </a:spcBef>
            <a:spcAft>
              <a:spcPct val="35000"/>
            </a:spcAft>
            <a:buNone/>
          </a:pPr>
          <a:r>
            <a:rPr lang="en-AU" sz="3100" kern="1200"/>
            <a:t>Data Integrity Issue </a:t>
          </a:r>
          <a:r>
            <a:rPr lang="en-AU" sz="3100" kern="1200" baseline="30000"/>
            <a:t>2</a:t>
          </a:r>
        </a:p>
      </dsp:txBody>
      <dsp:txXfrm>
        <a:off x="3240758" y="4050952"/>
        <a:ext cx="4313154" cy="810185"/>
      </dsp:txXfrm>
    </dsp:sp>
    <dsp:sp modelId="{BB46FD88-F687-4C6C-9AA8-453CF3E89530}">
      <dsp:nvSpPr>
        <dsp:cNvPr id="0" name=""/>
        <dsp:cNvSpPr/>
      </dsp:nvSpPr>
      <dsp:spPr>
        <a:xfrm>
          <a:off x="7553913" y="0"/>
          <a:ext cx="4313154" cy="810191"/>
        </a:xfrm>
        <a:prstGeom prst="rect">
          <a:avLst/>
        </a:prstGeom>
        <a:noFill/>
        <a:ln w="12700" cap="flat" cmpd="sng" algn="ctr">
          <a:noFill/>
          <a:prstDash val="solid"/>
          <a:miter lim="800000"/>
        </a:ln>
        <a:effectLst/>
        <a:sp3d/>
      </dsp:spPr>
      <dsp:style>
        <a:lnRef idx="2">
          <a:scrgbClr r="0" g="0" b="0"/>
        </a:lnRef>
        <a:fillRef idx="1">
          <a:scrgbClr r="0" g="0" b="0"/>
        </a:fillRef>
        <a:effectRef idx="0">
          <a:scrgbClr r="0" g="0" b="0"/>
        </a:effectRef>
        <a:fontRef idx="minor"/>
      </dsp:style>
      <dsp:txBody>
        <a:bodyPr spcFirstLastPara="0" vert="horz" wrap="square" lIns="30480" tIns="30480" rIns="30480" bIns="30480" numCol="1" spcCol="1270" anchor="ctr" anchorCtr="0">
          <a:noAutofit/>
        </a:bodyPr>
        <a:lstStyle/>
        <a:p>
          <a:pPr marL="57150" lvl="1" indent="-57150" algn="l" defTabSz="355600">
            <a:lnSpc>
              <a:spcPct val="90000"/>
            </a:lnSpc>
            <a:spcBef>
              <a:spcPct val="0"/>
            </a:spcBef>
            <a:spcAft>
              <a:spcPct val="15000"/>
            </a:spcAft>
            <a:buChar char="•"/>
          </a:pPr>
          <a:r>
            <a:rPr lang="en-AU" sz="800" kern="1200"/>
            <a:t>Availability: None</a:t>
          </a:r>
        </a:p>
        <a:p>
          <a:pPr marL="57150" lvl="1" indent="-57150" algn="l" defTabSz="355600">
            <a:lnSpc>
              <a:spcPct val="90000"/>
            </a:lnSpc>
            <a:spcBef>
              <a:spcPct val="0"/>
            </a:spcBef>
            <a:spcAft>
              <a:spcPct val="15000"/>
            </a:spcAft>
            <a:buChar char="•"/>
          </a:pPr>
          <a:r>
            <a:rPr lang="en-AU" sz="800" kern="1200"/>
            <a:t>Recoverability: Redeploy, Restore</a:t>
          </a:r>
        </a:p>
        <a:p>
          <a:pPr marL="57150" lvl="1" indent="-57150" algn="l" defTabSz="355600">
            <a:lnSpc>
              <a:spcPct val="90000"/>
            </a:lnSpc>
            <a:spcBef>
              <a:spcPct val="0"/>
            </a:spcBef>
            <a:spcAft>
              <a:spcPct val="15000"/>
            </a:spcAft>
            <a:buChar char="•"/>
          </a:pPr>
          <a:r>
            <a:rPr lang="en-AU" sz="800" kern="1200"/>
            <a:t>Resources: Service Providers, Authorities, IT Support</a:t>
          </a:r>
        </a:p>
        <a:p>
          <a:pPr marL="57150" lvl="1" indent="-57150" algn="l" defTabSz="355600">
            <a:lnSpc>
              <a:spcPct val="90000"/>
            </a:lnSpc>
            <a:spcBef>
              <a:spcPct val="0"/>
            </a:spcBef>
            <a:spcAft>
              <a:spcPct val="15000"/>
            </a:spcAft>
            <a:buChar char="•"/>
          </a:pPr>
          <a:r>
            <a:rPr lang="en-AU" sz="800" kern="1200"/>
            <a:t>Continuity: Contingency Plan</a:t>
          </a:r>
        </a:p>
      </dsp:txBody>
      <dsp:txXfrm>
        <a:off x="7553913" y="0"/>
        <a:ext cx="4313154" cy="810191"/>
      </dsp:txXfrm>
    </dsp:sp>
    <dsp:sp modelId="{24E50752-3CCB-431B-8B70-70626438200B}">
      <dsp:nvSpPr>
        <dsp:cNvPr id="0" name=""/>
        <dsp:cNvSpPr/>
      </dsp:nvSpPr>
      <dsp:spPr>
        <a:xfrm>
          <a:off x="7553913" y="810191"/>
          <a:ext cx="4313154" cy="810192"/>
        </a:xfrm>
        <a:prstGeom prst="rect">
          <a:avLst/>
        </a:prstGeom>
        <a:noFill/>
        <a:ln w="12700" cap="flat" cmpd="sng" algn="ctr">
          <a:noFill/>
          <a:prstDash val="solid"/>
          <a:miter lim="800000"/>
        </a:ln>
        <a:effectLst/>
        <a:sp3d/>
      </dsp:spPr>
      <dsp:style>
        <a:lnRef idx="2">
          <a:scrgbClr r="0" g="0" b="0"/>
        </a:lnRef>
        <a:fillRef idx="1">
          <a:scrgbClr r="0" g="0" b="0"/>
        </a:fillRef>
        <a:effectRef idx="0">
          <a:scrgbClr r="0" g="0" b="0"/>
        </a:effectRef>
        <a:fontRef idx="minor"/>
      </dsp:style>
      <dsp:txBody>
        <a:bodyPr spcFirstLastPara="0" vert="horz" wrap="square" lIns="30480" tIns="30480" rIns="30480" bIns="30480" numCol="1" spcCol="1270" anchor="ctr" anchorCtr="0">
          <a:noAutofit/>
        </a:bodyPr>
        <a:lstStyle/>
        <a:p>
          <a:pPr marL="57150" lvl="1" indent="-57150" algn="l" defTabSz="355600">
            <a:lnSpc>
              <a:spcPct val="90000"/>
            </a:lnSpc>
            <a:spcBef>
              <a:spcPct val="0"/>
            </a:spcBef>
            <a:spcAft>
              <a:spcPct val="15000"/>
            </a:spcAft>
            <a:buChar char="•"/>
          </a:pPr>
          <a:r>
            <a:rPr lang="en-AU" sz="800" kern="1200"/>
            <a:t>Availability: None</a:t>
          </a:r>
        </a:p>
        <a:p>
          <a:pPr marL="57150" lvl="1" indent="-57150" algn="l" defTabSz="355600">
            <a:lnSpc>
              <a:spcPct val="90000"/>
            </a:lnSpc>
            <a:spcBef>
              <a:spcPct val="0"/>
            </a:spcBef>
            <a:spcAft>
              <a:spcPct val="15000"/>
            </a:spcAft>
            <a:buChar char="•"/>
          </a:pPr>
          <a:r>
            <a:rPr lang="en-AU" sz="800" kern="1200"/>
            <a:t>Recoverability (manual): Redeploy, Restore</a:t>
          </a:r>
        </a:p>
        <a:p>
          <a:pPr marL="57150" lvl="1" indent="-57150" algn="l" defTabSz="355600">
            <a:lnSpc>
              <a:spcPct val="90000"/>
            </a:lnSpc>
            <a:spcBef>
              <a:spcPct val="0"/>
            </a:spcBef>
            <a:spcAft>
              <a:spcPct val="15000"/>
            </a:spcAft>
            <a:buChar char="•"/>
          </a:pPr>
          <a:r>
            <a:rPr lang="en-AU" sz="800" kern="1200"/>
            <a:t>Resources: Service Providers, Authorities, IT Support</a:t>
          </a:r>
        </a:p>
        <a:p>
          <a:pPr marL="57150" lvl="1" indent="-57150" algn="l" defTabSz="355600">
            <a:lnSpc>
              <a:spcPct val="90000"/>
            </a:lnSpc>
            <a:spcBef>
              <a:spcPct val="0"/>
            </a:spcBef>
            <a:spcAft>
              <a:spcPct val="15000"/>
            </a:spcAft>
            <a:buChar char="•"/>
          </a:pPr>
          <a:r>
            <a:rPr lang="en-AU" sz="800" kern="1200"/>
            <a:t>Continuity: Contingency Plan</a:t>
          </a:r>
        </a:p>
      </dsp:txBody>
      <dsp:txXfrm>
        <a:off x="7553913" y="810191"/>
        <a:ext cx="4313154" cy="810192"/>
      </dsp:txXfrm>
    </dsp:sp>
    <dsp:sp modelId="{536CAB4B-913D-4D26-9EBF-0129EEA0CA72}">
      <dsp:nvSpPr>
        <dsp:cNvPr id="0" name=""/>
        <dsp:cNvSpPr/>
      </dsp:nvSpPr>
      <dsp:spPr>
        <a:xfrm>
          <a:off x="7553913" y="1620383"/>
          <a:ext cx="4313154" cy="810185"/>
        </a:xfrm>
        <a:prstGeom prst="rect">
          <a:avLst/>
        </a:prstGeom>
        <a:noFill/>
        <a:ln w="12700" cap="flat" cmpd="sng" algn="ctr">
          <a:noFill/>
          <a:prstDash val="solid"/>
          <a:miter lim="800000"/>
        </a:ln>
        <a:effectLst/>
        <a:sp3d/>
      </dsp:spPr>
      <dsp:style>
        <a:lnRef idx="2">
          <a:scrgbClr r="0" g="0" b="0"/>
        </a:lnRef>
        <a:fillRef idx="1">
          <a:scrgbClr r="0" g="0" b="0"/>
        </a:fillRef>
        <a:effectRef idx="0">
          <a:scrgbClr r="0" g="0" b="0"/>
        </a:effectRef>
        <a:fontRef idx="minor"/>
      </dsp:style>
      <dsp:txBody>
        <a:bodyPr spcFirstLastPara="0" vert="horz" wrap="square" lIns="30480" tIns="30480" rIns="30480" bIns="30480" numCol="1" spcCol="1270" anchor="ctr" anchorCtr="0">
          <a:noAutofit/>
        </a:bodyPr>
        <a:lstStyle/>
        <a:p>
          <a:pPr marL="57150" lvl="1" indent="-57150" algn="l" defTabSz="355600">
            <a:lnSpc>
              <a:spcPct val="90000"/>
            </a:lnSpc>
            <a:spcBef>
              <a:spcPct val="0"/>
            </a:spcBef>
            <a:spcAft>
              <a:spcPct val="15000"/>
            </a:spcAft>
            <a:buChar char="•"/>
          </a:pPr>
          <a:r>
            <a:rPr lang="en-AU" sz="800" kern="1200"/>
            <a:t>Availability (automated): Failover from the primary region (Australia East) to the secondary region (Australia Southeast) for all services delivering a critical business function. Deploy services to get the maximum  Microsoft SLA.</a:t>
          </a:r>
        </a:p>
        <a:p>
          <a:pPr marL="57150" lvl="1" indent="-57150" algn="l" defTabSz="355600">
            <a:lnSpc>
              <a:spcPct val="90000"/>
            </a:lnSpc>
            <a:spcBef>
              <a:spcPct val="0"/>
            </a:spcBef>
            <a:spcAft>
              <a:spcPct val="15000"/>
            </a:spcAft>
            <a:buChar char="•"/>
          </a:pPr>
          <a:r>
            <a:rPr lang="en-AU" sz="800" kern="1200"/>
            <a:t>Recoverability (manual): Restore</a:t>
          </a:r>
        </a:p>
        <a:p>
          <a:pPr marL="57150" lvl="1" indent="-57150" algn="l" defTabSz="355600">
            <a:lnSpc>
              <a:spcPct val="90000"/>
            </a:lnSpc>
            <a:spcBef>
              <a:spcPct val="0"/>
            </a:spcBef>
            <a:spcAft>
              <a:spcPct val="15000"/>
            </a:spcAft>
            <a:buChar char="•"/>
          </a:pPr>
          <a:r>
            <a:rPr lang="en-AU" sz="800" kern="1200"/>
            <a:t>Resources: IT Support, Vendor</a:t>
          </a:r>
        </a:p>
        <a:p>
          <a:pPr marL="57150" lvl="1" indent="-57150" algn="l" defTabSz="355600">
            <a:lnSpc>
              <a:spcPct val="90000"/>
            </a:lnSpc>
            <a:spcBef>
              <a:spcPct val="0"/>
            </a:spcBef>
            <a:spcAft>
              <a:spcPct val="15000"/>
            </a:spcAft>
            <a:buChar char="•"/>
          </a:pPr>
          <a:r>
            <a:rPr lang="en-AU" sz="800" kern="1200"/>
            <a:t>Continuity: Failover Plan, Recovery Plan</a:t>
          </a:r>
        </a:p>
      </dsp:txBody>
      <dsp:txXfrm>
        <a:off x="7553913" y="1620383"/>
        <a:ext cx="4313154" cy="810185"/>
      </dsp:txXfrm>
    </dsp:sp>
    <dsp:sp modelId="{272C6588-8A6F-4937-A317-A6AEEE131ABC}">
      <dsp:nvSpPr>
        <dsp:cNvPr id="0" name=""/>
        <dsp:cNvSpPr/>
      </dsp:nvSpPr>
      <dsp:spPr>
        <a:xfrm>
          <a:off x="7553913" y="2430569"/>
          <a:ext cx="4313154" cy="810191"/>
        </a:xfrm>
        <a:prstGeom prst="rect">
          <a:avLst/>
        </a:prstGeom>
        <a:noFill/>
        <a:ln w="12700" cap="flat" cmpd="sng" algn="ctr">
          <a:noFill/>
          <a:prstDash val="solid"/>
          <a:miter lim="800000"/>
        </a:ln>
        <a:effectLst/>
        <a:sp3d/>
      </dsp:spPr>
      <dsp:style>
        <a:lnRef idx="2">
          <a:scrgbClr r="0" g="0" b="0"/>
        </a:lnRef>
        <a:fillRef idx="1">
          <a:scrgbClr r="0" g="0" b="0"/>
        </a:fillRef>
        <a:effectRef idx="0">
          <a:scrgbClr r="0" g="0" b="0"/>
        </a:effectRef>
        <a:fontRef idx="minor"/>
      </dsp:style>
      <dsp:txBody>
        <a:bodyPr spcFirstLastPara="0" vert="horz" wrap="square" lIns="30480" tIns="30480" rIns="30480" bIns="30480" numCol="1" spcCol="1270" anchor="ctr" anchorCtr="0">
          <a:noAutofit/>
        </a:bodyPr>
        <a:lstStyle/>
        <a:p>
          <a:pPr marL="57150" lvl="1" indent="-57150" algn="l" defTabSz="355600">
            <a:lnSpc>
              <a:spcPct val="90000"/>
            </a:lnSpc>
            <a:spcBef>
              <a:spcPct val="0"/>
            </a:spcBef>
            <a:spcAft>
              <a:spcPct val="15000"/>
            </a:spcAft>
            <a:buChar char="•"/>
          </a:pPr>
          <a:r>
            <a:rPr lang="en-AU" sz="800" kern="1200"/>
            <a:t>Availability (automated): Failover between three zones for all services delivering a critical business function</a:t>
          </a:r>
        </a:p>
        <a:p>
          <a:pPr marL="57150" lvl="1" indent="-57150" algn="l" defTabSz="355600">
            <a:lnSpc>
              <a:spcPct val="90000"/>
            </a:lnSpc>
            <a:spcBef>
              <a:spcPct val="0"/>
            </a:spcBef>
            <a:spcAft>
              <a:spcPct val="15000"/>
            </a:spcAft>
            <a:buChar char="•"/>
          </a:pPr>
          <a:r>
            <a:rPr lang="en-AU" sz="800" kern="1200"/>
            <a:t>Recoverability (manual): Restore</a:t>
          </a:r>
        </a:p>
        <a:p>
          <a:pPr marL="57150" lvl="1" indent="-57150" algn="l" defTabSz="355600">
            <a:lnSpc>
              <a:spcPct val="90000"/>
            </a:lnSpc>
            <a:spcBef>
              <a:spcPct val="0"/>
            </a:spcBef>
            <a:spcAft>
              <a:spcPct val="15000"/>
            </a:spcAft>
            <a:buChar char="•"/>
          </a:pPr>
          <a:r>
            <a:rPr lang="en-AU" sz="800" kern="1200"/>
            <a:t>Resources: Service Providers, IT Support</a:t>
          </a:r>
        </a:p>
        <a:p>
          <a:pPr marL="57150" lvl="1" indent="-57150" algn="l" defTabSz="355600">
            <a:lnSpc>
              <a:spcPct val="90000"/>
            </a:lnSpc>
            <a:spcBef>
              <a:spcPct val="0"/>
            </a:spcBef>
            <a:spcAft>
              <a:spcPct val="15000"/>
            </a:spcAft>
            <a:buChar char="•"/>
          </a:pPr>
          <a:r>
            <a:rPr lang="en-AU" sz="800" kern="1200"/>
            <a:t>Continuity: Failover Plan, Recovery Plan</a:t>
          </a:r>
        </a:p>
      </dsp:txBody>
      <dsp:txXfrm>
        <a:off x="7553913" y="2430569"/>
        <a:ext cx="4313154" cy="810191"/>
      </dsp:txXfrm>
    </dsp:sp>
    <dsp:sp modelId="{E075561F-19A6-45AF-AB71-9F963E3AEFC5}">
      <dsp:nvSpPr>
        <dsp:cNvPr id="0" name=""/>
        <dsp:cNvSpPr/>
      </dsp:nvSpPr>
      <dsp:spPr>
        <a:xfrm>
          <a:off x="7553913" y="3240760"/>
          <a:ext cx="4313154" cy="810192"/>
        </a:xfrm>
        <a:prstGeom prst="rect">
          <a:avLst/>
        </a:prstGeom>
        <a:noFill/>
        <a:ln w="12700" cap="flat" cmpd="sng" algn="ctr">
          <a:noFill/>
          <a:prstDash val="solid"/>
          <a:miter lim="800000"/>
        </a:ln>
        <a:effectLst/>
        <a:sp3d/>
      </dsp:spPr>
      <dsp:style>
        <a:lnRef idx="2">
          <a:scrgbClr r="0" g="0" b="0"/>
        </a:lnRef>
        <a:fillRef idx="1">
          <a:scrgbClr r="0" g="0" b="0"/>
        </a:fillRef>
        <a:effectRef idx="0">
          <a:scrgbClr r="0" g="0" b="0"/>
        </a:effectRef>
        <a:fontRef idx="minor"/>
      </dsp:style>
      <dsp:txBody>
        <a:bodyPr spcFirstLastPara="0" vert="horz" wrap="square" lIns="30480" tIns="30480" rIns="30480" bIns="30480" numCol="1" spcCol="1270" anchor="ctr" anchorCtr="0">
          <a:noAutofit/>
        </a:bodyPr>
        <a:lstStyle/>
        <a:p>
          <a:pPr marL="57150" lvl="1" indent="-57150" algn="l" defTabSz="355600">
            <a:lnSpc>
              <a:spcPct val="90000"/>
            </a:lnSpc>
            <a:spcBef>
              <a:spcPct val="0"/>
            </a:spcBef>
            <a:spcAft>
              <a:spcPct val="15000"/>
            </a:spcAft>
            <a:buChar char="•"/>
          </a:pPr>
          <a:r>
            <a:rPr lang="en-AU" sz="800" kern="1200"/>
            <a:t>Availability (automated): None</a:t>
          </a:r>
        </a:p>
        <a:p>
          <a:pPr marL="57150" lvl="1" indent="-57150" algn="l" defTabSz="355600">
            <a:lnSpc>
              <a:spcPct val="90000"/>
            </a:lnSpc>
            <a:spcBef>
              <a:spcPct val="0"/>
            </a:spcBef>
            <a:spcAft>
              <a:spcPct val="15000"/>
            </a:spcAft>
            <a:buChar char="•"/>
          </a:pPr>
          <a:r>
            <a:rPr lang="en-AU" sz="800" kern="1200"/>
            <a:t>Recoverability (manual): Restore</a:t>
          </a:r>
        </a:p>
        <a:p>
          <a:pPr marL="57150" lvl="1" indent="-57150" algn="l" defTabSz="355600">
            <a:lnSpc>
              <a:spcPct val="90000"/>
            </a:lnSpc>
            <a:spcBef>
              <a:spcPct val="0"/>
            </a:spcBef>
            <a:spcAft>
              <a:spcPct val="15000"/>
            </a:spcAft>
            <a:buChar char="•"/>
          </a:pPr>
          <a:r>
            <a:rPr lang="en-AU" sz="800" kern="1200"/>
            <a:t>Resources: Service Providers, IT Support</a:t>
          </a:r>
        </a:p>
        <a:p>
          <a:pPr marL="57150" lvl="1" indent="-57150" algn="l" defTabSz="355600">
            <a:lnSpc>
              <a:spcPct val="90000"/>
            </a:lnSpc>
            <a:spcBef>
              <a:spcPct val="0"/>
            </a:spcBef>
            <a:spcAft>
              <a:spcPct val="15000"/>
            </a:spcAft>
            <a:buChar char="•"/>
          </a:pPr>
          <a:r>
            <a:rPr lang="en-AU" sz="800" kern="1200"/>
            <a:t>Continuity: Failover Plan, Recovery Plan</a:t>
          </a:r>
        </a:p>
      </dsp:txBody>
      <dsp:txXfrm>
        <a:off x="7553913" y="3240760"/>
        <a:ext cx="4313154" cy="810192"/>
      </dsp:txXfrm>
    </dsp:sp>
    <dsp:sp modelId="{D7B65A8A-B746-481B-A870-C8285FE300CD}">
      <dsp:nvSpPr>
        <dsp:cNvPr id="0" name=""/>
        <dsp:cNvSpPr/>
      </dsp:nvSpPr>
      <dsp:spPr>
        <a:xfrm>
          <a:off x="7553913" y="4050952"/>
          <a:ext cx="4313154" cy="810185"/>
        </a:xfrm>
        <a:prstGeom prst="rect">
          <a:avLst/>
        </a:prstGeom>
        <a:noFill/>
        <a:ln w="12700" cap="flat" cmpd="sng" algn="ctr">
          <a:noFill/>
          <a:prstDash val="solid"/>
          <a:miter lim="800000"/>
        </a:ln>
        <a:effectLst/>
        <a:sp3d/>
      </dsp:spPr>
      <dsp:style>
        <a:lnRef idx="2">
          <a:scrgbClr r="0" g="0" b="0"/>
        </a:lnRef>
        <a:fillRef idx="1">
          <a:scrgbClr r="0" g="0" b="0"/>
        </a:fillRef>
        <a:effectRef idx="0">
          <a:scrgbClr r="0" g="0" b="0"/>
        </a:effectRef>
        <a:fontRef idx="minor"/>
      </dsp:style>
      <dsp:txBody>
        <a:bodyPr spcFirstLastPara="0" vert="horz" wrap="square" lIns="30480" tIns="30480" rIns="30480" bIns="30480" numCol="1" spcCol="1270" anchor="ctr" anchorCtr="0">
          <a:noAutofit/>
        </a:bodyPr>
        <a:lstStyle/>
        <a:p>
          <a:pPr marL="57150" lvl="1" indent="-57150" algn="l" defTabSz="355600">
            <a:lnSpc>
              <a:spcPct val="90000"/>
            </a:lnSpc>
            <a:spcBef>
              <a:spcPct val="0"/>
            </a:spcBef>
            <a:spcAft>
              <a:spcPct val="15000"/>
            </a:spcAft>
            <a:buChar char="•"/>
          </a:pPr>
          <a:r>
            <a:rPr lang="en-AU" sz="800" kern="1200"/>
            <a:t>Availability: Not applicable</a:t>
          </a:r>
        </a:p>
        <a:p>
          <a:pPr marL="57150" lvl="1" indent="-57150" algn="l" defTabSz="355600">
            <a:lnSpc>
              <a:spcPct val="90000"/>
            </a:lnSpc>
            <a:spcBef>
              <a:spcPct val="0"/>
            </a:spcBef>
            <a:spcAft>
              <a:spcPct val="15000"/>
            </a:spcAft>
            <a:buChar char="•"/>
          </a:pPr>
          <a:r>
            <a:rPr lang="en-AU" sz="800" kern="1200"/>
            <a:t>Recoverability (manual): Restore</a:t>
          </a:r>
        </a:p>
        <a:p>
          <a:pPr marL="57150" lvl="1" indent="-57150" algn="l" defTabSz="355600">
            <a:lnSpc>
              <a:spcPct val="90000"/>
            </a:lnSpc>
            <a:spcBef>
              <a:spcPct val="0"/>
            </a:spcBef>
            <a:spcAft>
              <a:spcPct val="15000"/>
            </a:spcAft>
            <a:buChar char="•"/>
          </a:pPr>
          <a:r>
            <a:rPr lang="en-AU" sz="800" kern="1200"/>
            <a:t>Resources: Service Providers, IT Support</a:t>
          </a:r>
        </a:p>
        <a:p>
          <a:pPr marL="57150" lvl="1" indent="-57150" algn="l" defTabSz="355600">
            <a:lnSpc>
              <a:spcPct val="90000"/>
            </a:lnSpc>
            <a:spcBef>
              <a:spcPct val="0"/>
            </a:spcBef>
            <a:spcAft>
              <a:spcPct val="15000"/>
            </a:spcAft>
            <a:buChar char="•"/>
          </a:pPr>
          <a:r>
            <a:rPr lang="en-AU" sz="800" kern="1200"/>
            <a:t>Continuity: Recovery Plan</a:t>
          </a:r>
        </a:p>
      </dsp:txBody>
      <dsp:txXfrm>
        <a:off x="7553913" y="4050952"/>
        <a:ext cx="4313154" cy="810185"/>
      </dsp:txXfrm>
    </dsp:sp>
  </dsp:spTree>
</dsp:drawing>
</file>

<file path=xl/diagrams/layout1.xml><?xml version="1.0" encoding="utf-8"?>
<dgm:layoutDef xmlns:dgm="http://schemas.openxmlformats.org/drawingml/2006/diagram" xmlns:a="http://schemas.openxmlformats.org/drawingml/2006/main" uniqueId="urn:microsoft.com/office/officeart/2008/layout/IncreasingCircleProcess">
  <dgm:title val=""/>
  <dgm:desc val=""/>
  <dgm:catLst>
    <dgm:cat type="list" pri="8300"/>
    <dgm:cat type="process" pri="43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40" srcId="0" destId="10" srcOrd="0" destOrd="0"/>
        <dgm:cxn modelId="12" srcId="10" destId="11" srcOrd="0" destOrd="0"/>
        <dgm:cxn modelId="50" srcId="0" destId="20" srcOrd="1" destOrd="0"/>
        <dgm:cxn modelId="22" srcId="20" destId="21" srcOrd="0" destOrd="0"/>
        <dgm:cxn modelId="6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styleData>
  <dgm:clr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clrData>
  <dgm:layoutNode name="Name0">
    <dgm:varLst>
      <dgm:chMax val="7"/>
      <dgm:chPref val="7"/>
      <dgm:dir/>
      <dgm:animOne val="branch"/>
      <dgm:animLvl val="lvl"/>
    </dgm:varLst>
    <dgm:choose name="Name1">
      <dgm:if name="Name2" func="var" arg="dir" op="equ" val="norm">
        <dgm:alg type="lin">
          <dgm:param type="linDir" val="fromL"/>
          <dgm:param type="horzAlign" val="ctr"/>
          <dgm:param type="vertAlign" val="t"/>
        </dgm:alg>
      </dgm:if>
      <dgm:else name="Name3">
        <dgm:alg type="lin">
          <dgm:param type="linDir" val="fromR"/>
          <dgm:param type="horzAlign" val="ctr"/>
          <dgm:param type="vertAlign" val="t"/>
        </dgm:alg>
      </dgm:else>
    </dgm:choose>
    <dgm:shape xmlns:r="http://schemas.openxmlformats.org/officeDocument/2006/relationships" r:blip="">
      <dgm:adjLst/>
    </dgm:shape>
    <dgm:constrLst>
      <dgm:constr type="primFontSz" for="des" forName="Child" val="65"/>
      <dgm:constr type="primFontSz" for="des" forName="Parent" val="65"/>
      <dgm:constr type="primFontSz" for="des" forName="Child" refType="primFontSz" refFor="des" refForName="Parent" op="lte"/>
      <dgm:constr type="w" for="ch" forName="composite" refType="w"/>
      <dgm:constr type="h" for="ch" forName="composite" refType="h"/>
      <dgm:constr type="sp" refType="w" refFor="ch" refForName="composite" op="equ" fact="0.05"/>
      <dgm:constr type="w" for="ch" forName="sibTrans" refType="h" refFor="ch" refForName="composite" op="equ" fact="0.04"/>
    </dgm:constrLst>
    <dgm:forEach name="nodesForEach" axis="ch" ptType="node" cnt="7">
      <dgm:layoutNode name="composite">
        <dgm:alg type="composite">
          <dgm:param type="ar" val="0.8"/>
        </dgm:alg>
        <dgm:choose name="Name4">
          <dgm:if name="Name5" func="var" arg="dir" op="equ" val="norm">
            <dgm:constrLst>
              <dgm:constr type="l" for="ch" forName="Child" refType="w" fact="0.29"/>
              <dgm:constr type="t" for="ch" forName="Child" refType="h" fact="0.192"/>
              <dgm:constr type="w" for="ch" forName="Child" refType="w" fact="0.71"/>
              <dgm:constr type="h" for="ch" forName="Child" refType="h" fact="0.808"/>
              <dgm:constr type="l" for="ch" forName="Parent" refType="w" fact="0.29"/>
              <dgm:constr type="t" for="ch" forName="Parent" refType="h" fact="0"/>
              <dgm:constr type="w" for="ch" forName="Parent" refType="w" fact="0.71"/>
              <dgm:constr type="h" for="ch" forName="Parent" refType="h" fact="0.192"/>
              <dgm:constr type="l" for="ch" forName="BackAccent" refType="w" fact="0"/>
              <dgm:constr type="t" for="ch" forName="BackAccent" refType="h" fact="0"/>
              <dgm:constr type="w" for="ch" forName="BackAccent" refType="w" fact="0.24"/>
              <dgm:constr type="h" for="ch" forName="BackAccent" refType="h" fact="0.192"/>
              <dgm:constr type="l" for="ch" forName="Accent" refType="w" fact="0.024"/>
              <dgm:constr type="t" for="ch" forName="Accent" refType="h" fact="0.0192"/>
              <dgm:constr type="w" for="ch" forName="Accent" refType="w" fact="0.192"/>
              <dgm:constr type="h" for="ch" forName="Accent" refType="h" fact="0.1536"/>
            </dgm:constrLst>
          </dgm:if>
          <dgm:else name="Name6">
            <dgm:constrLst>
              <dgm:constr type="r" for="ch" forName="Child" refType="w" fact="0.71"/>
              <dgm:constr type="t" for="ch" forName="Child" refType="h" fact="0.192"/>
              <dgm:constr type="w" for="ch" forName="Child" refType="w" fact="0.71"/>
              <dgm:constr type="h" for="ch" forName="Child" refType="h" fact="0.808"/>
              <dgm:constr type="r" for="ch" forName="Parent" refType="w" fact="0.71"/>
              <dgm:constr type="t" for="ch" forName="Parent" refType="h" fact="0"/>
              <dgm:constr type="w" for="ch" forName="Parent" refType="w" fact="0.71"/>
              <dgm:constr type="h" for="ch" forName="Parent" refType="h" fact="0.192"/>
              <dgm:constr type="r" for="ch" forName="BackAccent" refType="w"/>
              <dgm:constr type="t" for="ch" forName="BackAccent" refType="h" fact="0"/>
              <dgm:constr type="w" for="ch" forName="BackAccent" refType="w" fact="0.24"/>
              <dgm:constr type="h" for="ch" forName="BackAccent" refType="h" fact="0.192"/>
              <dgm:constr type="r" for="ch" forName="Accent" refType="w" fact="0.976"/>
              <dgm:constr type="t" for="ch" forName="Accent" refType="h" fact="0.0192"/>
              <dgm:constr type="w" for="ch" forName="Accent" refType="w" fact="0.192"/>
              <dgm:constr type="h" for="ch" forName="Accent" refType="h" fact="0.1536"/>
            </dgm:constrLst>
          </dgm:else>
        </dgm:choose>
        <dgm:layoutNode name="BackAccent" styleLbl="bgShp">
          <dgm:alg type="sp"/>
          <dgm:shape xmlns:r="http://schemas.openxmlformats.org/officeDocument/2006/relationships" type="ellipse" r:blip="">
            <dgm:adjLst/>
          </dgm:shape>
          <dgm:presOf/>
        </dgm:layoutNode>
        <dgm:layoutNode name="Accent" styleLbl="alignNode1">
          <dgm:alg type="sp"/>
          <dgm:choose name="Name7">
            <dgm:if name="Name8" axis="precedSib" ptType="node" func="cnt" op="equ" val="0">
              <dgm:choose name="Name9">
                <dgm:if name="Name10" axis="followSib" ptType="node" func="cnt" op="equ" val="0">
                  <dgm:shape xmlns:r="http://schemas.openxmlformats.org/officeDocument/2006/relationships" type="chord" r:blip="">
                    <dgm:adjLst>
                      <dgm:adj idx="1" val="-90"/>
                      <dgm:adj idx="2" val="-90"/>
                    </dgm:adjLst>
                  </dgm:shape>
                </dgm:if>
                <dgm:if name="Name11" axis="followSib" ptType="node" func="cnt" op="equ" val="1">
                  <dgm:shape xmlns:r="http://schemas.openxmlformats.org/officeDocument/2006/relationships" type="chord" r:blip="">
                    <dgm:adjLst>
                      <dgm:adj idx="1" val="0"/>
                      <dgm:adj idx="2" val="180"/>
                    </dgm:adjLst>
                  </dgm:shape>
                </dgm:if>
                <dgm:if name="Name12" axis="followSib" ptType="node" func="cnt" op="equ" val="2">
                  <dgm:shape xmlns:r="http://schemas.openxmlformats.org/officeDocument/2006/relationships" type="chord" r:blip="">
                    <dgm:adjLst>
                      <dgm:adj idx="1" val="19.4712"/>
                      <dgm:adj idx="2" val="160.5288"/>
                    </dgm:adjLst>
                  </dgm:shape>
                </dgm:if>
                <dgm:if name="Name13" axis="followSib" ptType="node" func="cnt" op="equ" val="3">
                  <dgm:shape xmlns:r="http://schemas.openxmlformats.org/officeDocument/2006/relationships" type="chord" r:blip="">
                    <dgm:adjLst>
                      <dgm:adj idx="1" val="30"/>
                      <dgm:adj idx="2" val="150"/>
                    </dgm:adjLst>
                  </dgm:shape>
                </dgm:if>
                <dgm:if name="Name14" axis="followSib" ptType="node" func="cnt" op="equ" val="4">
                  <dgm:shape xmlns:r="http://schemas.openxmlformats.org/officeDocument/2006/relationships" type="chord" r:blip="">
                    <dgm:adjLst>
                      <dgm:adj idx="1" val="38.8699"/>
                      <dgm:adj idx="2" val="143.1301"/>
                    </dgm:adjLst>
                  </dgm:shape>
                </dgm:if>
                <dgm:if name="Name15" axis="followSib" ptType="node" func="cnt" op="equ" val="5">
                  <dgm:shape xmlns:r="http://schemas.openxmlformats.org/officeDocument/2006/relationships" type="chord" r:blip="">
                    <dgm:adjLst>
                      <dgm:adj idx="1" val="41.8103"/>
                      <dgm:adj idx="2" val="138.1897"/>
                    </dgm:adjLst>
                  </dgm:shape>
                </dgm:if>
                <dgm:else name="Name16">
                  <dgm:shape xmlns:r="http://schemas.openxmlformats.org/officeDocument/2006/relationships" type="chord" r:blip="">
                    <dgm:adjLst>
                      <dgm:adj idx="1" val="45.5847"/>
                      <dgm:adj idx="2" val="134.4153"/>
                    </dgm:adjLst>
                  </dgm:shape>
                </dgm:else>
              </dgm:choose>
            </dgm:if>
            <dgm:if name="Name17" axis="precedSib" ptType="node" func="cnt" op="equ" val="1">
              <dgm:choose name="Name18">
                <dgm:if name="Name19" axis="followSib" ptType="node" func="cnt" op="equ" val="0">
                  <dgm:shape xmlns:r="http://schemas.openxmlformats.org/officeDocument/2006/relationships" type="chord" r:blip="">
                    <dgm:adjLst>
                      <dgm:adj idx="1" val="-90"/>
                      <dgm:adj idx="2" val="-90"/>
                    </dgm:adjLst>
                  </dgm:shape>
                </dgm:if>
                <dgm:if name="Name20" axis="followSib" ptType="node" func="cnt" op="equ" val="1">
                  <dgm:shape xmlns:r="http://schemas.openxmlformats.org/officeDocument/2006/relationships" type="chord" r:blip="">
                    <dgm:adjLst>
                      <dgm:adj idx="1" val="-19.4712"/>
                      <dgm:adj idx="2" val="-160.5288"/>
                    </dgm:adjLst>
                  </dgm:shape>
                </dgm:if>
                <dgm:if name="Name21" axis="followSib" ptType="node" func="cnt" op="equ" val="2">
                  <dgm:shape xmlns:r="http://schemas.openxmlformats.org/officeDocument/2006/relationships" type="chord" r:blip="">
                    <dgm:adjLst>
                      <dgm:adj idx="1" val="0"/>
                      <dgm:adj idx="2" val="180"/>
                    </dgm:adjLst>
                  </dgm:shape>
                </dgm:if>
                <dgm:if name="Name22" axis="followSib" ptType="node" func="cnt" op="equ" val="3">
                  <dgm:shape xmlns:r="http://schemas.openxmlformats.org/officeDocument/2006/relationships" type="chord" r:blip="">
                    <dgm:adjLst>
                      <dgm:adj idx="1" val="11.537"/>
                      <dgm:adj idx="2" val="168.463"/>
                    </dgm:adjLst>
                  </dgm:shape>
                </dgm:if>
                <dgm:if name="Name23" axis="followSib" ptType="node" func="cnt" op="equ" val="4">
                  <dgm:shape xmlns:r="http://schemas.openxmlformats.org/officeDocument/2006/relationships" type="chord" r:blip="">
                    <dgm:adjLst>
                      <dgm:adj idx="1" val="19.4712"/>
                      <dgm:adj idx="2" val="160.5288"/>
                    </dgm:adjLst>
                  </dgm:shape>
                </dgm:if>
                <dgm:else name="Name24">
                  <dgm:shape xmlns:r="http://schemas.openxmlformats.org/officeDocument/2006/relationships" type="chord" r:blip="">
                    <dgm:adjLst>
                      <dgm:adj idx="1" val="25.3769"/>
                      <dgm:adj idx="2" val="154.6231"/>
                    </dgm:adjLst>
                  </dgm:shape>
                </dgm:else>
              </dgm:choose>
            </dgm:if>
            <dgm:if name="Name25" axis="precedSib" ptType="node" func="cnt" op="equ" val="2">
              <dgm:choose name="Name26">
                <dgm:if name="Name27" axis="followSib" ptType="node" func="cnt" op="equ" val="0">
                  <dgm:shape xmlns:r="http://schemas.openxmlformats.org/officeDocument/2006/relationships" type="chord" r:blip="">
                    <dgm:adjLst>
                      <dgm:adj idx="1" val="-90"/>
                      <dgm:adj idx="2" val="-90"/>
                    </dgm:adjLst>
                  </dgm:shape>
                </dgm:if>
                <dgm:if name="Name28" axis="followSib" ptType="node" func="cnt" op="equ" val="1">
                  <dgm:shape xmlns:r="http://schemas.openxmlformats.org/officeDocument/2006/relationships" type="chord" r:blip="">
                    <dgm:adjLst>
                      <dgm:adj idx="1" val="-30"/>
                      <dgm:adj idx="2" val="-150"/>
                    </dgm:adjLst>
                  </dgm:shape>
                </dgm:if>
                <dgm:if name="Name29" axis="followSib" ptType="node" func="cnt" op="equ" val="2">
                  <dgm:shape xmlns:r="http://schemas.openxmlformats.org/officeDocument/2006/relationships" type="chord" r:blip="">
                    <dgm:adjLst>
                      <dgm:adj idx="1" val="-11.537"/>
                      <dgm:adj idx="2" val="-168.463"/>
                    </dgm:adjLst>
                  </dgm:shape>
                </dgm:if>
                <dgm:if name="Name30" axis="followSib" ptType="node" func="cnt" op="equ" val="3">
                  <dgm:shape xmlns:r="http://schemas.openxmlformats.org/officeDocument/2006/relationships" type="chord" r:blip="">
                    <dgm:adjLst>
                      <dgm:adj idx="1" val="0"/>
                      <dgm:adj idx="2" val="180"/>
                    </dgm:adjLst>
                  </dgm:shape>
                </dgm:if>
                <dgm:else name="Name31">
                  <dgm:shape xmlns:r="http://schemas.openxmlformats.org/officeDocument/2006/relationships" type="chord" r:blip="">
                    <dgm:adjLst>
                      <dgm:adj idx="1" val="8.2133"/>
                      <dgm:adj idx="2" val="171.7867"/>
                    </dgm:adjLst>
                  </dgm:shape>
                </dgm:else>
              </dgm:choose>
            </dgm:if>
            <dgm:if name="Name32" axis="precedSib" ptType="node" func="cnt" op="equ" val="3">
              <dgm:choose name="Name33">
                <dgm:if name="Name34" axis="followSib" ptType="node" func="cnt" op="equ" val="0">
                  <dgm:shape xmlns:r="http://schemas.openxmlformats.org/officeDocument/2006/relationships" type="chord" r:blip="">
                    <dgm:adjLst>
                      <dgm:adj idx="1" val="-90"/>
                      <dgm:adj idx="2" val="-90"/>
                    </dgm:adjLst>
                  </dgm:shape>
                </dgm:if>
                <dgm:if name="Name35" axis="followSib" ptType="node" func="cnt" op="equ" val="1">
                  <dgm:shape xmlns:r="http://schemas.openxmlformats.org/officeDocument/2006/relationships" type="chord" r:blip="">
                    <dgm:adjLst>
                      <dgm:adj idx="1" val="-38.8699"/>
                      <dgm:adj idx="2" val="-143.1301"/>
                    </dgm:adjLst>
                  </dgm:shape>
                </dgm:if>
                <dgm:if name="Name36" axis="followSib" ptType="node" func="cnt" op="equ" val="2">
                  <dgm:shape xmlns:r="http://schemas.openxmlformats.org/officeDocument/2006/relationships" type="chord" r:blip="">
                    <dgm:adjLst>
                      <dgm:adj idx="1" val="-19.4712"/>
                      <dgm:adj idx="2" val="-160.5288"/>
                    </dgm:adjLst>
                  </dgm:shape>
                </dgm:if>
                <dgm:else name="Name37">
                  <dgm:shape xmlns:r="http://schemas.openxmlformats.org/officeDocument/2006/relationships" type="chord" r:blip="">
                    <dgm:adjLst>
                      <dgm:adj idx="1" val="-8.2133"/>
                      <dgm:adj idx="2" val="-171.7867"/>
                    </dgm:adjLst>
                  </dgm:shape>
                </dgm:else>
              </dgm:choose>
            </dgm:if>
            <dgm:if name="Name38" axis="precedSib" ptType="node" func="cnt" op="equ" val="4">
              <dgm:choose name="Name39">
                <dgm:if name="Name40" axis="followSib" ptType="node" func="cnt" op="equ" val="0">
                  <dgm:shape xmlns:r="http://schemas.openxmlformats.org/officeDocument/2006/relationships" type="chord" r:blip="">
                    <dgm:adjLst>
                      <dgm:adj idx="1" val="-90"/>
                      <dgm:adj idx="2" val="-90"/>
                    </dgm:adjLst>
                  </dgm:shape>
                </dgm:if>
                <dgm:if name="Name41" axis="followSib" ptType="node" func="cnt" op="equ" val="1">
                  <dgm:shape xmlns:r="http://schemas.openxmlformats.org/officeDocument/2006/relationships" type="chord" r:blip="">
                    <dgm:adjLst>
                      <dgm:adj idx="1" val="-41.8103"/>
                      <dgm:adj idx="2" val="-138.1897"/>
                    </dgm:adjLst>
                  </dgm:shape>
                </dgm:if>
                <dgm:else name="Name42">
                  <dgm:shape xmlns:r="http://schemas.openxmlformats.org/officeDocument/2006/relationships" type="chord" r:blip="">
                    <dgm:adjLst>
                      <dgm:adj idx="1" val="-25.3769"/>
                      <dgm:adj idx="2" val="-154.6231"/>
                    </dgm:adjLst>
                  </dgm:shape>
                </dgm:else>
              </dgm:choose>
            </dgm:if>
            <dgm:if name="Name43" axis="precedSib" ptType="node" func="cnt" op="equ" val="5">
              <dgm:choose name="Name44">
                <dgm:if name="Name45" axis="followSib" ptType="node" func="cnt" op="equ" val="0">
                  <dgm:shape xmlns:r="http://schemas.openxmlformats.org/officeDocument/2006/relationships" type="chord" r:blip="">
                    <dgm:adjLst>
                      <dgm:adj idx="1" val="-90"/>
                      <dgm:adj idx="2" val="-90"/>
                    </dgm:adjLst>
                  </dgm:shape>
                </dgm:if>
                <dgm:else name="Name46">
                  <dgm:shape xmlns:r="http://schemas.openxmlformats.org/officeDocument/2006/relationships" type="chord" r:blip="">
                    <dgm:adjLst>
                      <dgm:adj idx="1" val="-45.5847"/>
                      <dgm:adj idx="2" val="-134.4153"/>
                    </dgm:adjLst>
                  </dgm:shape>
                </dgm:else>
              </dgm:choose>
            </dgm:if>
            <dgm:else name="Name47">
              <dgm:shape xmlns:r="http://schemas.openxmlformats.org/officeDocument/2006/relationships" type="chord" r:blip="">
                <dgm:adjLst>
                  <dgm:adj idx="1" val="-90"/>
                  <dgm:adj idx="2" val="-90"/>
                </dgm:adjLst>
              </dgm:shape>
            </dgm:else>
          </dgm:choose>
          <dgm:presOf/>
        </dgm:layoutNode>
        <dgm:layoutNode name="Child" styleLbl="revTx">
          <dgm:varLst>
            <dgm:chMax val="0"/>
            <dgm:chPref val="0"/>
            <dgm:bulletEnabled val="1"/>
          </dgm:varLst>
          <dgm:choose name="Name48">
            <dgm:if name="Name49" func="var" arg="dir" op="equ" val="norm">
              <dgm:alg type="tx">
                <dgm:param type="parTxLTRAlign" val="l"/>
                <dgm:param type="parTxRTLAlign" val="l"/>
                <dgm:param type="txAnchorVert" val="t"/>
              </dgm:alg>
            </dgm:if>
            <dgm:else name="Name50">
              <dgm:alg type="tx">
                <dgm:param type="parTxLTRAlign" val="r"/>
                <dgm:param type="parTxRTLAlign" val="r"/>
                <dgm:param type="txAnchorVert" val="t"/>
              </dgm:alg>
            </dgm:else>
          </dgm:choose>
          <dgm:choose name="Name51">
            <dgm:if name="Name52" axis="ch" ptType="node" func="cnt" op="gte" val="1">
              <dgm:shape xmlns:r="http://schemas.openxmlformats.org/officeDocument/2006/relationships" type="rect" r:blip="">
                <dgm:adjLst/>
              </dgm:shape>
            </dgm:if>
            <dgm:else name="Name53">
              <dgm:shape xmlns:r="http://schemas.openxmlformats.org/officeDocument/2006/relationships" type="rect" r:blip="" hideGeom="1">
                <dgm:adjLst/>
              </dgm:shape>
            </dgm:else>
          </dgm:choose>
          <dgm:choose name="Name54">
            <dgm:if name="Name55" axis="ch" ptType="node" func="cnt" op="gte" val="1">
              <dgm:presOf axis="des" ptType="node"/>
            </dgm:if>
            <dgm:else name="Name56">
              <dgm:presOf/>
            </dgm:else>
          </dgm:choos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name="Parent" styleLbl="revTx">
          <dgm:varLst>
            <dgm:chMax val="1"/>
            <dgm:chPref val="1"/>
            <dgm:bulletEnabled val="1"/>
          </dgm:varLst>
          <dgm:choose name="Name57">
            <dgm:if name="Name58" func="var" arg="dir" op="equ" val="norm">
              <dgm:alg type="tx">
                <dgm:param type="parTxLTRAlign" val="l"/>
                <dgm:param type="parTxRTLAlign" val="l"/>
                <dgm:param type="shpTxLTRAlignCh" val="l"/>
                <dgm:param type="shpTxRTLAlignCh" val="l"/>
                <dgm:param type="txAnchorVert" val="b"/>
                <dgm:param type="txAnchorVertCh" val="b"/>
              </dgm:alg>
            </dgm:if>
            <dgm:else name="Name59">
              <dgm:alg type="tx">
                <dgm:param type="parTxLTRAlign" val="r"/>
                <dgm:param type="parTxRTLAlign" val="r"/>
                <dgm:param type="shpTxLTRAlignCh" val="r"/>
                <dgm:param type="shpTxRTLAlignCh" val="r"/>
                <dgm:param type="txAnchorVert" val="b"/>
                <dgm:param type="txAnchorVertCh" val="b"/>
              </dgm:alg>
            </dgm:else>
          </dgm:choose>
          <dgm:shape xmlns:r="http://schemas.openxmlformats.org/officeDocument/2006/relationships" type="rect" r:blip="">
            <dgm:adjLst/>
          </dgm:shape>
          <dgm:presOf axis="self" ptType="nod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10.xml><?xml version="1.0" encoding="utf-8"?>
<dgm:layoutDef xmlns:dgm="http://schemas.openxmlformats.org/drawingml/2006/diagram" xmlns:a="http://schemas.openxmlformats.org/drawingml/2006/main" uniqueId="urn:microsoft.com/office/officeart/2005/8/layout/process5">
  <dgm:title val=""/>
  <dgm:desc val=""/>
  <dgm:catLst>
    <dgm:cat type="process" pri="17000"/>
  </dgm:catLst>
  <dgm:sampData>
    <dgm:dataModel>
      <dgm:ptLst>
        <dgm:pt modelId="0" type="doc"/>
        <dgm:pt modelId="1">
          <dgm:prSet phldr="1"/>
        </dgm:pt>
        <dgm:pt modelId="2">
          <dgm:prSet phldr="1"/>
        </dgm:pt>
        <dgm:pt modelId="3">
          <dgm:prSet phldr="1"/>
        </dgm:pt>
        <dgm:pt modelId="4">
          <dgm:prSet phldr="1"/>
        </dgm:pt>
        <dgm:pt modelId="5">
          <dgm:prSet phldr="1"/>
        </dgm:pt>
      </dgm:ptLst>
      <dgm:cxnLst>
        <dgm:cxn modelId="7" srcId="0" destId="1" srcOrd="0" destOrd="0"/>
        <dgm:cxn modelId="8" srcId="0" destId="2" srcOrd="1" destOrd="0"/>
        <dgm:cxn modelId="9" srcId="0" destId="3" srcOrd="2" destOrd="0"/>
        <dgm:cxn modelId="10" srcId="0" destId="4" srcOrd="3" destOrd="0"/>
        <dgm:cxn modelId="11" srcId="0" destId="5" srcOrd="4" destOrd="0"/>
      </dgm:cxn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diagram">
    <dgm:varLst>
      <dgm:dir/>
      <dgm:resizeHandles val="exact"/>
    </dgm:varLst>
    <dgm:choose name="Name0">
      <dgm:if name="Name1" axis="self" func="var" arg="dir" op="equ" val="norm">
        <dgm:alg type="snake">
          <dgm:param type="grDir" val="tL"/>
          <dgm:param type="flowDir" val="row"/>
          <dgm:param type="contDir" val="revDir"/>
          <dgm:param type="bkpt" val="endCnv"/>
        </dgm:alg>
      </dgm:if>
      <dgm:else name="Name2">
        <dgm:alg type="snake">
          <dgm:param type="grDir" val="tR"/>
          <dgm:param type="flowDir" val="row"/>
          <dgm:param type="contDir" val="revDir"/>
          <dgm:param type="bkpt" val="endCnv"/>
        </dgm:alg>
      </dgm:else>
    </dgm:choose>
    <dgm:shape xmlns:r="http://schemas.openxmlformats.org/officeDocument/2006/relationships" r:blip="">
      <dgm:adjLst/>
    </dgm:shape>
    <dgm:presOf/>
    <dgm:constrLst>
      <dgm:constr type="w" for="ch" ptType="node" refType="w"/>
      <dgm:constr type="w" for="ch" forName="sibTrans" refType="w" refFor="ch" refPtType="node" op="equ" fact="0.4"/>
      <dgm:constr type="sp" refType="w" refFor="ch" refForName="sibTrans" op="equ"/>
      <dgm:constr type="primFontSz" for="ch" ptType="node" op="equ" val="65"/>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5"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Lst>
          <dgm:ruleLst/>
          <dgm:layoutNode name="connectorText">
            <dgm:alg type="tx">
              <dgm:param type="autoTxRot" val="upr"/>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layout11.xml><?xml version="1.0" encoding="utf-8"?>
<dgm:layoutDef xmlns:dgm="http://schemas.openxmlformats.org/drawingml/2006/diagram" xmlns:a="http://schemas.openxmlformats.org/drawingml/2006/main" uniqueId="urn:microsoft.com/office/officeart/2005/8/layout/bProcess3">
  <dgm:title val=""/>
  <dgm:desc val=""/>
  <dgm:catLst>
    <dgm:cat type="process" pri="18000"/>
  </dgm:catLst>
  <dgm:sampData>
    <dgm:dataModel>
      <dgm:ptLst>
        <dgm:pt modelId="0" type="doc"/>
        <dgm:pt modelId="1">
          <dgm:prSet phldr="1"/>
        </dgm:pt>
        <dgm:pt modelId="2">
          <dgm:prSet phldr="1"/>
        </dgm:pt>
        <dgm:pt modelId="3">
          <dgm:prSet phldr="1"/>
        </dgm:pt>
        <dgm:pt modelId="4">
          <dgm:prSet phldr="1"/>
        </dgm:pt>
        <dgm:pt modelId="5">
          <dgm:prSet phldr="1"/>
        </dgm:pt>
      </dgm:ptLst>
      <dgm:cxnLst>
        <dgm:cxn modelId="7" srcId="0" destId="1" srcOrd="0" destOrd="0"/>
        <dgm:cxn modelId="8" srcId="0" destId="2" srcOrd="1" destOrd="0"/>
        <dgm:cxn modelId="9" srcId="0" destId="3" srcOrd="2" destOrd="0"/>
        <dgm:cxn modelId="10" srcId="0" destId="4" srcOrd="3" destOrd="0"/>
        <dgm:cxn modelId="11" srcId="0" destId="5" srcOrd="4" destOrd="0"/>
      </dgm:cxn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axis="self" func="var" arg="dir" op="equ" val="norm">
        <dgm:alg type="snake">
          <dgm:param type="grDir" val="tL"/>
          <dgm:param type="flowDir" val="row"/>
          <dgm:param type="contDir" val="sameDir"/>
          <dgm:param type="bkpt" val="endCnv"/>
        </dgm:alg>
      </dgm:if>
      <dgm:else name="Name3">
        <dgm:alg type="snake">
          <dgm:param type="grDir" val="tR"/>
          <dgm:param type="flowDir" val="row"/>
          <dgm:param type="contDir" val="sameDir"/>
          <dgm:param type="bkpt" val="endCnv"/>
        </dgm:alg>
      </dgm:else>
    </dgm:choose>
    <dgm:shape xmlns:r="http://schemas.openxmlformats.org/officeDocument/2006/relationships" r:blip="">
      <dgm:adjLst/>
    </dgm:shape>
    <dgm:presOf/>
    <dgm:constrLst>
      <dgm:constr type="w" for="ch" ptType="node" refType="w"/>
      <dgm:constr type="w" for="ch" forName="sibTrans" refType="w" refFor="ch" refPtType="node" op="equ" fact="0.23"/>
      <dgm:constr type="sp" refType="w" refFor="ch" refForName="sibTrans" op="equ"/>
      <dgm:constr type="userB" for="des" forName="connectorText" refType="sp"/>
      <dgm:constr type="primFontSz" for="ch" ptType="node" op="equ" val="65"/>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ect" r:blip="">
          <dgm:adjLst/>
        </dgm:shape>
        <dgm:presOf axis="desOrSelf" ptType="node"/>
        <dgm:constrLst>
          <dgm:constr type="h" refType="w" fact="0.6"/>
        </dgm:constrLst>
        <dgm:ruleLst>
          <dgm:rule type="primFontSz" val="5" fact="NaN" max="NaN"/>
        </dgm:ruleLst>
      </dgm:layoutNode>
      <dgm:forEach name="sibTransForEach" axis="followSib" ptType="sibTrans" cnt="1">
        <dgm:layoutNode name="sibTrans">
          <dgm:choose name="Name4">
            <dgm:if name="Name5" axis="self" func="var" arg="dir" op="equ" val="norm">
              <dgm:alg type="conn">
                <dgm:param type="connRout" val="bend"/>
                <dgm:param type="dim" val="1D"/>
                <dgm:param type="begPts" val="midR bCtr"/>
                <dgm:param type="endPts" val="midL tCtr"/>
              </dgm:alg>
            </dgm:if>
            <dgm:else name="Name6">
              <dgm:alg type="conn">
                <dgm:param type="connRout" val="bend"/>
                <dgm:param type="dim" val="1D"/>
                <dgm:param type="begPts" val="midL bCtr"/>
                <dgm:param type="endPts" val="midR tCtr"/>
              </dgm:alg>
            </dgm:else>
          </dgm:choose>
          <dgm:shape xmlns:r="http://schemas.openxmlformats.org/officeDocument/2006/relationships" type="conn" r:blip="" zOrderOff="-2">
            <dgm:adjLst/>
          </dgm:shape>
          <dgm:presOf axis="self"/>
          <dgm:constrLst>
            <dgm:constr type="begPad" val="-0.05"/>
            <dgm:constr type="endPad" val="0.9"/>
            <dgm:constr type="userA" for="ch" refType="connDist"/>
          </dgm:constrLst>
          <dgm:ruleLst/>
          <dgm:layoutNode name="connectorText">
            <dgm:alg type="tx">
              <dgm:param type="autoTxRot" val="upr"/>
            </dgm:alg>
            <dgm:shape xmlns:r="http://schemas.openxmlformats.org/officeDocument/2006/relationships" type="rect" r:blip="" hideGeom="1">
              <dgm:adjLst/>
            </dgm:shape>
            <dgm:presOf axis="self"/>
            <dgm:constrLst>
              <dgm:constr type="userA"/>
              <dgm:constr type="userB"/>
              <dgm:constr type="w" refType="userA" fact="0.05"/>
              <dgm:constr type="h" refType="userB" fact="0.01"/>
              <dgm:constr type="lMarg" val="1"/>
              <dgm:constr type="rMarg" val="1"/>
              <dgm:constr type="tMarg"/>
              <dgm:constr type="bMarg"/>
            </dgm:constrLst>
            <dgm:ruleLst>
              <dgm:rule type="w" val="NaN" fact="0.6" max="NaN"/>
              <dgm:rule type="h" val="NaN" fact="0.6" max="NaN"/>
              <dgm:rule type="primFontSz" val="5" fact="NaN" max="NaN"/>
            </dgm:ruleLst>
          </dgm:layoutNode>
        </dgm:layoutNode>
      </dgm:forEach>
    </dgm:forEach>
  </dgm:layoutNode>
</dgm:layoutDef>
</file>

<file path=xl/diagrams/layout12.xml><?xml version="1.0" encoding="utf-8"?>
<dgm:layoutDef xmlns:dgm="http://schemas.openxmlformats.org/drawingml/2006/diagram" xmlns:a="http://schemas.openxmlformats.org/drawingml/2006/main" uniqueId="urn:microsoft.com/office/officeart/2005/8/layout/bProcess3">
  <dgm:title val=""/>
  <dgm:desc val=""/>
  <dgm:catLst>
    <dgm:cat type="process" pri="18000"/>
  </dgm:catLst>
  <dgm:sampData>
    <dgm:dataModel>
      <dgm:ptLst>
        <dgm:pt modelId="0" type="doc"/>
        <dgm:pt modelId="1">
          <dgm:prSet phldr="1"/>
        </dgm:pt>
        <dgm:pt modelId="2">
          <dgm:prSet phldr="1"/>
        </dgm:pt>
        <dgm:pt modelId="3">
          <dgm:prSet phldr="1"/>
        </dgm:pt>
        <dgm:pt modelId="4">
          <dgm:prSet phldr="1"/>
        </dgm:pt>
        <dgm:pt modelId="5">
          <dgm:prSet phldr="1"/>
        </dgm:pt>
      </dgm:ptLst>
      <dgm:cxnLst>
        <dgm:cxn modelId="7" srcId="0" destId="1" srcOrd="0" destOrd="0"/>
        <dgm:cxn modelId="8" srcId="0" destId="2" srcOrd="1" destOrd="0"/>
        <dgm:cxn modelId="9" srcId="0" destId="3" srcOrd="2" destOrd="0"/>
        <dgm:cxn modelId="10" srcId="0" destId="4" srcOrd="3" destOrd="0"/>
        <dgm:cxn modelId="11" srcId="0" destId="5" srcOrd="4" destOrd="0"/>
      </dgm:cxn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axis="self" func="var" arg="dir" op="equ" val="norm">
        <dgm:alg type="snake">
          <dgm:param type="grDir" val="tL"/>
          <dgm:param type="flowDir" val="row"/>
          <dgm:param type="contDir" val="sameDir"/>
          <dgm:param type="bkpt" val="endCnv"/>
        </dgm:alg>
      </dgm:if>
      <dgm:else name="Name3">
        <dgm:alg type="snake">
          <dgm:param type="grDir" val="tR"/>
          <dgm:param type="flowDir" val="row"/>
          <dgm:param type="contDir" val="sameDir"/>
          <dgm:param type="bkpt" val="endCnv"/>
        </dgm:alg>
      </dgm:else>
    </dgm:choose>
    <dgm:shape xmlns:r="http://schemas.openxmlformats.org/officeDocument/2006/relationships" r:blip="">
      <dgm:adjLst/>
    </dgm:shape>
    <dgm:presOf/>
    <dgm:constrLst>
      <dgm:constr type="w" for="ch" ptType="node" refType="w"/>
      <dgm:constr type="w" for="ch" forName="sibTrans" refType="w" refFor="ch" refPtType="node" op="equ" fact="0.23"/>
      <dgm:constr type="sp" refType="w" refFor="ch" refForName="sibTrans" op="equ"/>
      <dgm:constr type="userB" for="des" forName="connectorText" refType="sp"/>
      <dgm:constr type="primFontSz" for="ch" ptType="node" op="equ" val="65"/>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ect" r:blip="">
          <dgm:adjLst/>
        </dgm:shape>
        <dgm:presOf axis="desOrSelf" ptType="node"/>
        <dgm:constrLst>
          <dgm:constr type="h" refType="w" fact="0.6"/>
        </dgm:constrLst>
        <dgm:ruleLst>
          <dgm:rule type="primFontSz" val="5" fact="NaN" max="NaN"/>
        </dgm:ruleLst>
      </dgm:layoutNode>
      <dgm:forEach name="sibTransForEach" axis="followSib" ptType="sibTrans" cnt="1">
        <dgm:layoutNode name="sibTrans">
          <dgm:choose name="Name4">
            <dgm:if name="Name5" axis="self" func="var" arg="dir" op="equ" val="norm">
              <dgm:alg type="conn">
                <dgm:param type="connRout" val="bend"/>
                <dgm:param type="dim" val="1D"/>
                <dgm:param type="begPts" val="midR bCtr"/>
                <dgm:param type="endPts" val="midL tCtr"/>
              </dgm:alg>
            </dgm:if>
            <dgm:else name="Name6">
              <dgm:alg type="conn">
                <dgm:param type="connRout" val="bend"/>
                <dgm:param type="dim" val="1D"/>
                <dgm:param type="begPts" val="midL bCtr"/>
                <dgm:param type="endPts" val="midR tCtr"/>
              </dgm:alg>
            </dgm:else>
          </dgm:choose>
          <dgm:shape xmlns:r="http://schemas.openxmlformats.org/officeDocument/2006/relationships" type="conn" r:blip="" zOrderOff="-2">
            <dgm:adjLst/>
          </dgm:shape>
          <dgm:presOf axis="self"/>
          <dgm:constrLst>
            <dgm:constr type="begPad" val="-0.05"/>
            <dgm:constr type="endPad" val="0.9"/>
            <dgm:constr type="userA" for="ch" refType="connDist"/>
          </dgm:constrLst>
          <dgm:ruleLst/>
          <dgm:layoutNode name="connectorText">
            <dgm:alg type="tx">
              <dgm:param type="autoTxRot" val="upr"/>
            </dgm:alg>
            <dgm:shape xmlns:r="http://schemas.openxmlformats.org/officeDocument/2006/relationships" type="rect" r:blip="" hideGeom="1">
              <dgm:adjLst/>
            </dgm:shape>
            <dgm:presOf axis="self"/>
            <dgm:constrLst>
              <dgm:constr type="userA"/>
              <dgm:constr type="userB"/>
              <dgm:constr type="w" refType="userA" fact="0.05"/>
              <dgm:constr type="h" refType="userB" fact="0.01"/>
              <dgm:constr type="lMarg" val="1"/>
              <dgm:constr type="rMarg" val="1"/>
              <dgm:constr type="tMarg"/>
              <dgm:constr type="bMarg"/>
            </dgm:constrLst>
            <dgm:ruleLst>
              <dgm:rule type="w" val="NaN" fact="0.6" max="NaN"/>
              <dgm:rule type="h" val="NaN" fact="0.6" max="NaN"/>
              <dgm:rule type="primFontSz" val="5" fact="NaN" max="NaN"/>
            </dgm:ruleLst>
          </dgm:layoutNode>
        </dgm:layoutNode>
      </dgm:forEach>
    </dgm:forEach>
  </dgm:layoutNode>
</dgm:layoutDef>
</file>

<file path=xl/diagrams/layout13.xml><?xml version="1.0" encoding="utf-8"?>
<dgm:layoutDef xmlns:dgm="http://schemas.openxmlformats.org/drawingml/2006/diagram" xmlns:a="http://schemas.openxmlformats.org/drawingml/2006/main" uniqueId="urn:microsoft.com/office/officeart/2005/8/layout/bProcess3">
  <dgm:title val=""/>
  <dgm:desc val=""/>
  <dgm:catLst>
    <dgm:cat type="process" pri="18000"/>
  </dgm:catLst>
  <dgm:sampData>
    <dgm:dataModel>
      <dgm:ptLst>
        <dgm:pt modelId="0" type="doc"/>
        <dgm:pt modelId="1">
          <dgm:prSet phldr="1"/>
        </dgm:pt>
        <dgm:pt modelId="2">
          <dgm:prSet phldr="1"/>
        </dgm:pt>
        <dgm:pt modelId="3">
          <dgm:prSet phldr="1"/>
        </dgm:pt>
        <dgm:pt modelId="4">
          <dgm:prSet phldr="1"/>
        </dgm:pt>
        <dgm:pt modelId="5">
          <dgm:prSet phldr="1"/>
        </dgm:pt>
      </dgm:ptLst>
      <dgm:cxnLst>
        <dgm:cxn modelId="7" srcId="0" destId="1" srcOrd="0" destOrd="0"/>
        <dgm:cxn modelId="8" srcId="0" destId="2" srcOrd="1" destOrd="0"/>
        <dgm:cxn modelId="9" srcId="0" destId="3" srcOrd="2" destOrd="0"/>
        <dgm:cxn modelId="10" srcId="0" destId="4" srcOrd="3" destOrd="0"/>
        <dgm:cxn modelId="11" srcId="0" destId="5" srcOrd="4" destOrd="0"/>
      </dgm:cxn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axis="self" func="var" arg="dir" op="equ" val="norm">
        <dgm:alg type="snake">
          <dgm:param type="grDir" val="tL"/>
          <dgm:param type="flowDir" val="row"/>
          <dgm:param type="contDir" val="sameDir"/>
          <dgm:param type="bkpt" val="endCnv"/>
        </dgm:alg>
      </dgm:if>
      <dgm:else name="Name3">
        <dgm:alg type="snake">
          <dgm:param type="grDir" val="tR"/>
          <dgm:param type="flowDir" val="row"/>
          <dgm:param type="contDir" val="sameDir"/>
          <dgm:param type="bkpt" val="endCnv"/>
        </dgm:alg>
      </dgm:else>
    </dgm:choose>
    <dgm:shape xmlns:r="http://schemas.openxmlformats.org/officeDocument/2006/relationships" r:blip="">
      <dgm:adjLst/>
    </dgm:shape>
    <dgm:presOf/>
    <dgm:constrLst>
      <dgm:constr type="w" for="ch" ptType="node" refType="w"/>
      <dgm:constr type="w" for="ch" forName="sibTrans" refType="w" refFor="ch" refPtType="node" op="equ" fact="0.23"/>
      <dgm:constr type="sp" refType="w" refFor="ch" refForName="sibTrans" op="equ"/>
      <dgm:constr type="userB" for="des" forName="connectorText" refType="sp"/>
      <dgm:constr type="primFontSz" for="ch" ptType="node" op="equ" val="65"/>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ect" r:blip="">
          <dgm:adjLst/>
        </dgm:shape>
        <dgm:presOf axis="desOrSelf" ptType="node"/>
        <dgm:constrLst>
          <dgm:constr type="h" refType="w" fact="0.6"/>
        </dgm:constrLst>
        <dgm:ruleLst>
          <dgm:rule type="primFontSz" val="5" fact="NaN" max="NaN"/>
        </dgm:ruleLst>
      </dgm:layoutNode>
      <dgm:forEach name="sibTransForEach" axis="followSib" ptType="sibTrans" cnt="1">
        <dgm:layoutNode name="sibTrans">
          <dgm:choose name="Name4">
            <dgm:if name="Name5" axis="self" func="var" arg="dir" op="equ" val="norm">
              <dgm:alg type="conn">
                <dgm:param type="connRout" val="bend"/>
                <dgm:param type="dim" val="1D"/>
                <dgm:param type="begPts" val="midR bCtr"/>
                <dgm:param type="endPts" val="midL tCtr"/>
              </dgm:alg>
            </dgm:if>
            <dgm:else name="Name6">
              <dgm:alg type="conn">
                <dgm:param type="connRout" val="bend"/>
                <dgm:param type="dim" val="1D"/>
                <dgm:param type="begPts" val="midL bCtr"/>
                <dgm:param type="endPts" val="midR tCtr"/>
              </dgm:alg>
            </dgm:else>
          </dgm:choose>
          <dgm:shape xmlns:r="http://schemas.openxmlformats.org/officeDocument/2006/relationships" type="conn" r:blip="" zOrderOff="-2">
            <dgm:adjLst/>
          </dgm:shape>
          <dgm:presOf axis="self"/>
          <dgm:constrLst>
            <dgm:constr type="begPad" val="-0.05"/>
            <dgm:constr type="endPad" val="0.9"/>
            <dgm:constr type="userA" for="ch" refType="connDist"/>
          </dgm:constrLst>
          <dgm:ruleLst/>
          <dgm:layoutNode name="connectorText">
            <dgm:alg type="tx">
              <dgm:param type="autoTxRot" val="upr"/>
            </dgm:alg>
            <dgm:shape xmlns:r="http://schemas.openxmlformats.org/officeDocument/2006/relationships" type="rect" r:blip="" hideGeom="1">
              <dgm:adjLst/>
            </dgm:shape>
            <dgm:presOf axis="self"/>
            <dgm:constrLst>
              <dgm:constr type="userA"/>
              <dgm:constr type="userB"/>
              <dgm:constr type="w" refType="userA" fact="0.05"/>
              <dgm:constr type="h" refType="userB" fact="0.01"/>
              <dgm:constr type="lMarg" val="1"/>
              <dgm:constr type="rMarg" val="1"/>
              <dgm:constr type="tMarg"/>
              <dgm:constr type="bMarg"/>
            </dgm:constrLst>
            <dgm:ruleLst>
              <dgm:rule type="w" val="NaN" fact="0.6" max="NaN"/>
              <dgm:rule type="h" val="NaN" fact="0.6" max="NaN"/>
              <dgm:rule type="primFontSz" val="5" fact="NaN" max="NaN"/>
            </dgm:ruleLst>
          </dgm:layoutNode>
        </dgm:layoutNode>
      </dgm:forEach>
    </dgm:forEach>
  </dgm:layoutNode>
</dgm:layoutDef>
</file>

<file path=xl/diagrams/layout14.xml><?xml version="1.0" encoding="utf-8"?>
<dgm:layoutDef xmlns:dgm="http://schemas.openxmlformats.org/drawingml/2006/diagram" xmlns:a="http://schemas.openxmlformats.org/drawingml/2006/main" uniqueId="urn:microsoft.com/office/officeart/2005/8/layout/hList6">
  <dgm:title val=""/>
  <dgm:desc val=""/>
  <dgm:catLst>
    <dgm:cat type="list" pri="18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6" srcId="0" destId="3" srcOrd="2" destOrd="0"/>
        <dgm:cxn modelId="13" srcId="1" destId="11" srcOrd="0" destOrd="0"/>
        <dgm:cxn modelId="14" srcId="1" destId="12" srcOrd="1" destOrd="0"/>
        <dgm:cxn modelId="23" srcId="2" destId="21" srcOrd="0" destOrd="0"/>
        <dgm:cxn modelId="24" srcId="2" destId="22" srcOrd="1" destOrd="0"/>
        <dgm:cxn modelId="33" srcId="3" destId="31" srcOrd="0" destOrd="0"/>
        <dgm:cxn modelId="34" srcId="3" destId="32" srcOrd="1"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h" for="ch" ptType="node" refType="h"/>
      <dgm:constr type="w" for="ch" ptType="node" refType="w"/>
      <dgm:constr type="primFontSz" for="ch" ptType="node" op="equ"/>
      <dgm:constr type="w" for="ch" forName="sibTrans" refType="w" fact="0.075"/>
    </dgm:constrLst>
    <dgm:ruleLst/>
    <dgm:forEach name="nodesForEach" axis="ch" ptType="node">
      <dgm:layoutNode name="node">
        <dgm:varLst>
          <dgm:bulletEnabled val="1"/>
        </dgm:varLst>
        <dgm:alg type="tx"/>
        <dgm:choose name="Name4">
          <dgm:if name="Name5" func="var" arg="dir" op="equ" val="norm">
            <dgm:shape xmlns:r="http://schemas.openxmlformats.org/officeDocument/2006/relationships" rot="-90" type="flowChartManualOperation" r:blip="">
              <dgm:adjLst/>
            </dgm:shape>
          </dgm:if>
          <dgm:else name="Name6">
            <dgm:shape xmlns:r="http://schemas.openxmlformats.org/officeDocument/2006/relationships" rot="90" type="flowChartManualOperation" r:blip="">
              <dgm:adjLst/>
            </dgm:shape>
          </dgm:else>
        </dgm:choose>
        <dgm:presOf axis="desOrSelf" ptType="node"/>
        <dgm:constrLst>
          <dgm:constr type="primFontSz" val="65"/>
          <dgm:constr type="tMarg"/>
          <dgm:constr type="bMarg"/>
          <dgm:constr type="lMarg" refType="primFontSz" fact="0.5"/>
          <dgm:constr type="rMarg" refType="lMarg"/>
        </dgm:constrLst>
        <dgm:ruleLst>
          <dgm:rule type="primFontSz" val="5" fact="NaN" max="NaN"/>
        </dgm:ruleLst>
      </dgm:layoutNode>
      <dgm:forEach name="sibTransForEach" axis="followSib" ptType="sibTrans" cnt="1">
        <dgm:layoutNode name="sibTrans">
          <dgm:alg type="sp"/>
          <dgm:shape xmlns:r="http://schemas.openxmlformats.org/officeDocument/2006/relationships" r:blip="">
            <dgm:adjLst/>
          </dgm:shape>
          <dgm:presOf/>
          <dgm:constrLst/>
          <dgm:ruleLst/>
        </dgm:layoutNode>
      </dgm:forEach>
    </dgm:forEach>
  </dgm:layoutNode>
</dgm:layoutDef>
</file>

<file path=xl/diagrams/layout2.xml><?xml version="1.0" encoding="utf-8"?>
<dgm:layoutDef xmlns:dgm="http://schemas.openxmlformats.org/drawingml/2006/diagram" xmlns:a="http://schemas.openxmlformats.org/drawingml/2006/main" uniqueId="urn:microsoft.com/office/officeart/2008/layout/IncreasingCircleProcess">
  <dgm:title val=""/>
  <dgm:desc val=""/>
  <dgm:catLst>
    <dgm:cat type="list" pri="8300"/>
    <dgm:cat type="process" pri="43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40" srcId="0" destId="10" srcOrd="0" destOrd="0"/>
        <dgm:cxn modelId="12" srcId="10" destId="11" srcOrd="0" destOrd="0"/>
        <dgm:cxn modelId="50" srcId="0" destId="20" srcOrd="1" destOrd="0"/>
        <dgm:cxn modelId="22" srcId="20" destId="21" srcOrd="0" destOrd="0"/>
        <dgm:cxn modelId="6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styleData>
  <dgm:clr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clrData>
  <dgm:layoutNode name="Name0">
    <dgm:varLst>
      <dgm:chMax val="7"/>
      <dgm:chPref val="7"/>
      <dgm:dir/>
      <dgm:animOne val="branch"/>
      <dgm:animLvl val="lvl"/>
    </dgm:varLst>
    <dgm:choose name="Name1">
      <dgm:if name="Name2" func="var" arg="dir" op="equ" val="norm">
        <dgm:alg type="lin">
          <dgm:param type="linDir" val="fromL"/>
          <dgm:param type="horzAlign" val="ctr"/>
          <dgm:param type="vertAlign" val="t"/>
        </dgm:alg>
      </dgm:if>
      <dgm:else name="Name3">
        <dgm:alg type="lin">
          <dgm:param type="linDir" val="fromR"/>
          <dgm:param type="horzAlign" val="ctr"/>
          <dgm:param type="vertAlign" val="t"/>
        </dgm:alg>
      </dgm:else>
    </dgm:choose>
    <dgm:shape xmlns:r="http://schemas.openxmlformats.org/officeDocument/2006/relationships" r:blip="">
      <dgm:adjLst/>
    </dgm:shape>
    <dgm:constrLst>
      <dgm:constr type="primFontSz" for="des" forName="Child" val="65"/>
      <dgm:constr type="primFontSz" for="des" forName="Parent" val="65"/>
      <dgm:constr type="primFontSz" for="des" forName="Child" refType="primFontSz" refFor="des" refForName="Parent" op="lte"/>
      <dgm:constr type="w" for="ch" forName="composite" refType="w"/>
      <dgm:constr type="h" for="ch" forName="composite" refType="h"/>
      <dgm:constr type="sp" refType="w" refFor="ch" refForName="composite" op="equ" fact="0.05"/>
      <dgm:constr type="w" for="ch" forName="sibTrans" refType="h" refFor="ch" refForName="composite" op="equ" fact="0.04"/>
    </dgm:constrLst>
    <dgm:forEach name="nodesForEach" axis="ch" ptType="node" cnt="7">
      <dgm:layoutNode name="composite">
        <dgm:alg type="composite">
          <dgm:param type="ar" val="0.8"/>
        </dgm:alg>
        <dgm:choose name="Name4">
          <dgm:if name="Name5" func="var" arg="dir" op="equ" val="norm">
            <dgm:constrLst>
              <dgm:constr type="l" for="ch" forName="Child" refType="w" fact="0.29"/>
              <dgm:constr type="t" for="ch" forName="Child" refType="h" fact="0.192"/>
              <dgm:constr type="w" for="ch" forName="Child" refType="w" fact="0.71"/>
              <dgm:constr type="h" for="ch" forName="Child" refType="h" fact="0.808"/>
              <dgm:constr type="l" for="ch" forName="Parent" refType="w" fact="0.29"/>
              <dgm:constr type="t" for="ch" forName="Parent" refType="h" fact="0"/>
              <dgm:constr type="w" for="ch" forName="Parent" refType="w" fact="0.71"/>
              <dgm:constr type="h" for="ch" forName="Parent" refType="h" fact="0.192"/>
              <dgm:constr type="l" for="ch" forName="BackAccent" refType="w" fact="0"/>
              <dgm:constr type="t" for="ch" forName="BackAccent" refType="h" fact="0"/>
              <dgm:constr type="w" for="ch" forName="BackAccent" refType="w" fact="0.24"/>
              <dgm:constr type="h" for="ch" forName="BackAccent" refType="h" fact="0.192"/>
              <dgm:constr type="l" for="ch" forName="Accent" refType="w" fact="0.024"/>
              <dgm:constr type="t" for="ch" forName="Accent" refType="h" fact="0.0192"/>
              <dgm:constr type="w" for="ch" forName="Accent" refType="w" fact="0.192"/>
              <dgm:constr type="h" for="ch" forName="Accent" refType="h" fact="0.1536"/>
            </dgm:constrLst>
          </dgm:if>
          <dgm:else name="Name6">
            <dgm:constrLst>
              <dgm:constr type="r" for="ch" forName="Child" refType="w" fact="0.71"/>
              <dgm:constr type="t" for="ch" forName="Child" refType="h" fact="0.192"/>
              <dgm:constr type="w" for="ch" forName="Child" refType="w" fact="0.71"/>
              <dgm:constr type="h" for="ch" forName="Child" refType="h" fact="0.808"/>
              <dgm:constr type="r" for="ch" forName="Parent" refType="w" fact="0.71"/>
              <dgm:constr type="t" for="ch" forName="Parent" refType="h" fact="0"/>
              <dgm:constr type="w" for="ch" forName="Parent" refType="w" fact="0.71"/>
              <dgm:constr type="h" for="ch" forName="Parent" refType="h" fact="0.192"/>
              <dgm:constr type="r" for="ch" forName="BackAccent" refType="w"/>
              <dgm:constr type="t" for="ch" forName="BackAccent" refType="h" fact="0"/>
              <dgm:constr type="w" for="ch" forName="BackAccent" refType="w" fact="0.24"/>
              <dgm:constr type="h" for="ch" forName="BackAccent" refType="h" fact="0.192"/>
              <dgm:constr type="r" for="ch" forName="Accent" refType="w" fact="0.976"/>
              <dgm:constr type="t" for="ch" forName="Accent" refType="h" fact="0.0192"/>
              <dgm:constr type="w" for="ch" forName="Accent" refType="w" fact="0.192"/>
              <dgm:constr type="h" for="ch" forName="Accent" refType="h" fact="0.1536"/>
            </dgm:constrLst>
          </dgm:else>
        </dgm:choose>
        <dgm:layoutNode name="BackAccent" styleLbl="bgShp">
          <dgm:alg type="sp"/>
          <dgm:shape xmlns:r="http://schemas.openxmlformats.org/officeDocument/2006/relationships" type="ellipse" r:blip="">
            <dgm:adjLst/>
          </dgm:shape>
          <dgm:presOf/>
        </dgm:layoutNode>
        <dgm:layoutNode name="Accent" styleLbl="alignNode1">
          <dgm:alg type="sp"/>
          <dgm:choose name="Name7">
            <dgm:if name="Name8" axis="precedSib" ptType="node" func="cnt" op="equ" val="0">
              <dgm:choose name="Name9">
                <dgm:if name="Name10" axis="followSib" ptType="node" func="cnt" op="equ" val="0">
                  <dgm:shape xmlns:r="http://schemas.openxmlformats.org/officeDocument/2006/relationships" type="chord" r:blip="">
                    <dgm:adjLst>
                      <dgm:adj idx="1" val="-90"/>
                      <dgm:adj idx="2" val="-90"/>
                    </dgm:adjLst>
                  </dgm:shape>
                </dgm:if>
                <dgm:if name="Name11" axis="followSib" ptType="node" func="cnt" op="equ" val="1">
                  <dgm:shape xmlns:r="http://schemas.openxmlformats.org/officeDocument/2006/relationships" type="chord" r:blip="">
                    <dgm:adjLst>
                      <dgm:adj idx="1" val="0"/>
                      <dgm:adj idx="2" val="180"/>
                    </dgm:adjLst>
                  </dgm:shape>
                </dgm:if>
                <dgm:if name="Name12" axis="followSib" ptType="node" func="cnt" op="equ" val="2">
                  <dgm:shape xmlns:r="http://schemas.openxmlformats.org/officeDocument/2006/relationships" type="chord" r:blip="">
                    <dgm:adjLst>
                      <dgm:adj idx="1" val="19.4712"/>
                      <dgm:adj idx="2" val="160.5288"/>
                    </dgm:adjLst>
                  </dgm:shape>
                </dgm:if>
                <dgm:if name="Name13" axis="followSib" ptType="node" func="cnt" op="equ" val="3">
                  <dgm:shape xmlns:r="http://schemas.openxmlformats.org/officeDocument/2006/relationships" type="chord" r:blip="">
                    <dgm:adjLst>
                      <dgm:adj idx="1" val="30"/>
                      <dgm:adj idx="2" val="150"/>
                    </dgm:adjLst>
                  </dgm:shape>
                </dgm:if>
                <dgm:if name="Name14" axis="followSib" ptType="node" func="cnt" op="equ" val="4">
                  <dgm:shape xmlns:r="http://schemas.openxmlformats.org/officeDocument/2006/relationships" type="chord" r:blip="">
                    <dgm:adjLst>
                      <dgm:adj idx="1" val="38.8699"/>
                      <dgm:adj idx="2" val="143.1301"/>
                    </dgm:adjLst>
                  </dgm:shape>
                </dgm:if>
                <dgm:if name="Name15" axis="followSib" ptType="node" func="cnt" op="equ" val="5">
                  <dgm:shape xmlns:r="http://schemas.openxmlformats.org/officeDocument/2006/relationships" type="chord" r:blip="">
                    <dgm:adjLst>
                      <dgm:adj idx="1" val="41.8103"/>
                      <dgm:adj idx="2" val="138.1897"/>
                    </dgm:adjLst>
                  </dgm:shape>
                </dgm:if>
                <dgm:else name="Name16">
                  <dgm:shape xmlns:r="http://schemas.openxmlformats.org/officeDocument/2006/relationships" type="chord" r:blip="">
                    <dgm:adjLst>
                      <dgm:adj idx="1" val="45.5847"/>
                      <dgm:adj idx="2" val="134.4153"/>
                    </dgm:adjLst>
                  </dgm:shape>
                </dgm:else>
              </dgm:choose>
            </dgm:if>
            <dgm:if name="Name17" axis="precedSib" ptType="node" func="cnt" op="equ" val="1">
              <dgm:choose name="Name18">
                <dgm:if name="Name19" axis="followSib" ptType="node" func="cnt" op="equ" val="0">
                  <dgm:shape xmlns:r="http://schemas.openxmlformats.org/officeDocument/2006/relationships" type="chord" r:blip="">
                    <dgm:adjLst>
                      <dgm:adj idx="1" val="-90"/>
                      <dgm:adj idx="2" val="-90"/>
                    </dgm:adjLst>
                  </dgm:shape>
                </dgm:if>
                <dgm:if name="Name20" axis="followSib" ptType="node" func="cnt" op="equ" val="1">
                  <dgm:shape xmlns:r="http://schemas.openxmlformats.org/officeDocument/2006/relationships" type="chord" r:blip="">
                    <dgm:adjLst>
                      <dgm:adj idx="1" val="-19.4712"/>
                      <dgm:adj idx="2" val="-160.5288"/>
                    </dgm:adjLst>
                  </dgm:shape>
                </dgm:if>
                <dgm:if name="Name21" axis="followSib" ptType="node" func="cnt" op="equ" val="2">
                  <dgm:shape xmlns:r="http://schemas.openxmlformats.org/officeDocument/2006/relationships" type="chord" r:blip="">
                    <dgm:adjLst>
                      <dgm:adj idx="1" val="0"/>
                      <dgm:adj idx="2" val="180"/>
                    </dgm:adjLst>
                  </dgm:shape>
                </dgm:if>
                <dgm:if name="Name22" axis="followSib" ptType="node" func="cnt" op="equ" val="3">
                  <dgm:shape xmlns:r="http://schemas.openxmlformats.org/officeDocument/2006/relationships" type="chord" r:blip="">
                    <dgm:adjLst>
                      <dgm:adj idx="1" val="11.537"/>
                      <dgm:adj idx="2" val="168.463"/>
                    </dgm:adjLst>
                  </dgm:shape>
                </dgm:if>
                <dgm:if name="Name23" axis="followSib" ptType="node" func="cnt" op="equ" val="4">
                  <dgm:shape xmlns:r="http://schemas.openxmlformats.org/officeDocument/2006/relationships" type="chord" r:blip="">
                    <dgm:adjLst>
                      <dgm:adj idx="1" val="19.4712"/>
                      <dgm:adj idx="2" val="160.5288"/>
                    </dgm:adjLst>
                  </dgm:shape>
                </dgm:if>
                <dgm:else name="Name24">
                  <dgm:shape xmlns:r="http://schemas.openxmlformats.org/officeDocument/2006/relationships" type="chord" r:blip="">
                    <dgm:adjLst>
                      <dgm:adj idx="1" val="25.3769"/>
                      <dgm:adj idx="2" val="154.6231"/>
                    </dgm:adjLst>
                  </dgm:shape>
                </dgm:else>
              </dgm:choose>
            </dgm:if>
            <dgm:if name="Name25" axis="precedSib" ptType="node" func="cnt" op="equ" val="2">
              <dgm:choose name="Name26">
                <dgm:if name="Name27" axis="followSib" ptType="node" func="cnt" op="equ" val="0">
                  <dgm:shape xmlns:r="http://schemas.openxmlformats.org/officeDocument/2006/relationships" type="chord" r:blip="">
                    <dgm:adjLst>
                      <dgm:adj idx="1" val="-90"/>
                      <dgm:adj idx="2" val="-90"/>
                    </dgm:adjLst>
                  </dgm:shape>
                </dgm:if>
                <dgm:if name="Name28" axis="followSib" ptType="node" func="cnt" op="equ" val="1">
                  <dgm:shape xmlns:r="http://schemas.openxmlformats.org/officeDocument/2006/relationships" type="chord" r:blip="">
                    <dgm:adjLst>
                      <dgm:adj idx="1" val="-30"/>
                      <dgm:adj idx="2" val="-150"/>
                    </dgm:adjLst>
                  </dgm:shape>
                </dgm:if>
                <dgm:if name="Name29" axis="followSib" ptType="node" func="cnt" op="equ" val="2">
                  <dgm:shape xmlns:r="http://schemas.openxmlformats.org/officeDocument/2006/relationships" type="chord" r:blip="">
                    <dgm:adjLst>
                      <dgm:adj idx="1" val="-11.537"/>
                      <dgm:adj idx="2" val="-168.463"/>
                    </dgm:adjLst>
                  </dgm:shape>
                </dgm:if>
                <dgm:if name="Name30" axis="followSib" ptType="node" func="cnt" op="equ" val="3">
                  <dgm:shape xmlns:r="http://schemas.openxmlformats.org/officeDocument/2006/relationships" type="chord" r:blip="">
                    <dgm:adjLst>
                      <dgm:adj idx="1" val="0"/>
                      <dgm:adj idx="2" val="180"/>
                    </dgm:adjLst>
                  </dgm:shape>
                </dgm:if>
                <dgm:else name="Name31">
                  <dgm:shape xmlns:r="http://schemas.openxmlformats.org/officeDocument/2006/relationships" type="chord" r:blip="">
                    <dgm:adjLst>
                      <dgm:adj idx="1" val="8.2133"/>
                      <dgm:adj idx="2" val="171.7867"/>
                    </dgm:adjLst>
                  </dgm:shape>
                </dgm:else>
              </dgm:choose>
            </dgm:if>
            <dgm:if name="Name32" axis="precedSib" ptType="node" func="cnt" op="equ" val="3">
              <dgm:choose name="Name33">
                <dgm:if name="Name34" axis="followSib" ptType="node" func="cnt" op="equ" val="0">
                  <dgm:shape xmlns:r="http://schemas.openxmlformats.org/officeDocument/2006/relationships" type="chord" r:blip="">
                    <dgm:adjLst>
                      <dgm:adj idx="1" val="-90"/>
                      <dgm:adj idx="2" val="-90"/>
                    </dgm:adjLst>
                  </dgm:shape>
                </dgm:if>
                <dgm:if name="Name35" axis="followSib" ptType="node" func="cnt" op="equ" val="1">
                  <dgm:shape xmlns:r="http://schemas.openxmlformats.org/officeDocument/2006/relationships" type="chord" r:blip="">
                    <dgm:adjLst>
                      <dgm:adj idx="1" val="-38.8699"/>
                      <dgm:adj idx="2" val="-143.1301"/>
                    </dgm:adjLst>
                  </dgm:shape>
                </dgm:if>
                <dgm:if name="Name36" axis="followSib" ptType="node" func="cnt" op="equ" val="2">
                  <dgm:shape xmlns:r="http://schemas.openxmlformats.org/officeDocument/2006/relationships" type="chord" r:blip="">
                    <dgm:adjLst>
                      <dgm:adj idx="1" val="-19.4712"/>
                      <dgm:adj idx="2" val="-160.5288"/>
                    </dgm:adjLst>
                  </dgm:shape>
                </dgm:if>
                <dgm:else name="Name37">
                  <dgm:shape xmlns:r="http://schemas.openxmlformats.org/officeDocument/2006/relationships" type="chord" r:blip="">
                    <dgm:adjLst>
                      <dgm:adj idx="1" val="-8.2133"/>
                      <dgm:adj idx="2" val="-171.7867"/>
                    </dgm:adjLst>
                  </dgm:shape>
                </dgm:else>
              </dgm:choose>
            </dgm:if>
            <dgm:if name="Name38" axis="precedSib" ptType="node" func="cnt" op="equ" val="4">
              <dgm:choose name="Name39">
                <dgm:if name="Name40" axis="followSib" ptType="node" func="cnt" op="equ" val="0">
                  <dgm:shape xmlns:r="http://schemas.openxmlformats.org/officeDocument/2006/relationships" type="chord" r:blip="">
                    <dgm:adjLst>
                      <dgm:adj idx="1" val="-90"/>
                      <dgm:adj idx="2" val="-90"/>
                    </dgm:adjLst>
                  </dgm:shape>
                </dgm:if>
                <dgm:if name="Name41" axis="followSib" ptType="node" func="cnt" op="equ" val="1">
                  <dgm:shape xmlns:r="http://schemas.openxmlformats.org/officeDocument/2006/relationships" type="chord" r:blip="">
                    <dgm:adjLst>
                      <dgm:adj idx="1" val="-41.8103"/>
                      <dgm:adj idx="2" val="-138.1897"/>
                    </dgm:adjLst>
                  </dgm:shape>
                </dgm:if>
                <dgm:else name="Name42">
                  <dgm:shape xmlns:r="http://schemas.openxmlformats.org/officeDocument/2006/relationships" type="chord" r:blip="">
                    <dgm:adjLst>
                      <dgm:adj idx="1" val="-25.3769"/>
                      <dgm:adj idx="2" val="-154.6231"/>
                    </dgm:adjLst>
                  </dgm:shape>
                </dgm:else>
              </dgm:choose>
            </dgm:if>
            <dgm:if name="Name43" axis="precedSib" ptType="node" func="cnt" op="equ" val="5">
              <dgm:choose name="Name44">
                <dgm:if name="Name45" axis="followSib" ptType="node" func="cnt" op="equ" val="0">
                  <dgm:shape xmlns:r="http://schemas.openxmlformats.org/officeDocument/2006/relationships" type="chord" r:blip="">
                    <dgm:adjLst>
                      <dgm:adj idx="1" val="-90"/>
                      <dgm:adj idx="2" val="-90"/>
                    </dgm:adjLst>
                  </dgm:shape>
                </dgm:if>
                <dgm:else name="Name46">
                  <dgm:shape xmlns:r="http://schemas.openxmlformats.org/officeDocument/2006/relationships" type="chord" r:blip="">
                    <dgm:adjLst>
                      <dgm:adj idx="1" val="-45.5847"/>
                      <dgm:adj idx="2" val="-134.4153"/>
                    </dgm:adjLst>
                  </dgm:shape>
                </dgm:else>
              </dgm:choose>
            </dgm:if>
            <dgm:else name="Name47">
              <dgm:shape xmlns:r="http://schemas.openxmlformats.org/officeDocument/2006/relationships" type="chord" r:blip="">
                <dgm:adjLst>
                  <dgm:adj idx="1" val="-90"/>
                  <dgm:adj idx="2" val="-90"/>
                </dgm:adjLst>
              </dgm:shape>
            </dgm:else>
          </dgm:choose>
          <dgm:presOf/>
        </dgm:layoutNode>
        <dgm:layoutNode name="Child" styleLbl="revTx">
          <dgm:varLst>
            <dgm:chMax val="0"/>
            <dgm:chPref val="0"/>
            <dgm:bulletEnabled val="1"/>
          </dgm:varLst>
          <dgm:choose name="Name48">
            <dgm:if name="Name49" func="var" arg="dir" op="equ" val="norm">
              <dgm:alg type="tx">
                <dgm:param type="parTxLTRAlign" val="l"/>
                <dgm:param type="parTxRTLAlign" val="l"/>
                <dgm:param type="txAnchorVert" val="t"/>
              </dgm:alg>
            </dgm:if>
            <dgm:else name="Name50">
              <dgm:alg type="tx">
                <dgm:param type="parTxLTRAlign" val="r"/>
                <dgm:param type="parTxRTLAlign" val="r"/>
                <dgm:param type="txAnchorVert" val="t"/>
              </dgm:alg>
            </dgm:else>
          </dgm:choose>
          <dgm:choose name="Name51">
            <dgm:if name="Name52" axis="ch" ptType="node" func="cnt" op="gte" val="1">
              <dgm:shape xmlns:r="http://schemas.openxmlformats.org/officeDocument/2006/relationships" type="rect" r:blip="">
                <dgm:adjLst/>
              </dgm:shape>
            </dgm:if>
            <dgm:else name="Name53">
              <dgm:shape xmlns:r="http://schemas.openxmlformats.org/officeDocument/2006/relationships" type="rect" r:blip="" hideGeom="1">
                <dgm:adjLst/>
              </dgm:shape>
            </dgm:else>
          </dgm:choose>
          <dgm:choose name="Name54">
            <dgm:if name="Name55" axis="ch" ptType="node" func="cnt" op="gte" val="1">
              <dgm:presOf axis="des" ptType="node"/>
            </dgm:if>
            <dgm:else name="Name56">
              <dgm:presOf/>
            </dgm:else>
          </dgm:choos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name="Parent" styleLbl="revTx">
          <dgm:varLst>
            <dgm:chMax val="1"/>
            <dgm:chPref val="1"/>
            <dgm:bulletEnabled val="1"/>
          </dgm:varLst>
          <dgm:choose name="Name57">
            <dgm:if name="Name58" func="var" arg="dir" op="equ" val="norm">
              <dgm:alg type="tx">
                <dgm:param type="parTxLTRAlign" val="l"/>
                <dgm:param type="parTxRTLAlign" val="l"/>
                <dgm:param type="shpTxLTRAlignCh" val="l"/>
                <dgm:param type="shpTxRTLAlignCh" val="l"/>
                <dgm:param type="txAnchorVert" val="b"/>
                <dgm:param type="txAnchorVertCh" val="b"/>
              </dgm:alg>
            </dgm:if>
            <dgm:else name="Name59">
              <dgm:alg type="tx">
                <dgm:param type="parTxLTRAlign" val="r"/>
                <dgm:param type="parTxRTLAlign" val="r"/>
                <dgm:param type="shpTxLTRAlignCh" val="r"/>
                <dgm:param type="shpTxRTLAlignCh" val="r"/>
                <dgm:param type="txAnchorVert" val="b"/>
                <dgm:param type="txAnchorVertCh" val="b"/>
              </dgm:alg>
            </dgm:else>
          </dgm:choose>
          <dgm:shape xmlns:r="http://schemas.openxmlformats.org/officeDocument/2006/relationships" type="rect" r:blip="">
            <dgm:adjLst/>
          </dgm:shape>
          <dgm:presOf axis="self" ptType="nod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3.xml><?xml version="1.0" encoding="utf-8"?>
<dgm:layoutDef xmlns:dgm="http://schemas.openxmlformats.org/drawingml/2006/diagram" xmlns:a="http://schemas.openxmlformats.org/drawingml/2006/main" uniqueId="urn:microsoft.com/office/officeart/2008/layout/IncreasingCircleProcess">
  <dgm:title val=""/>
  <dgm:desc val=""/>
  <dgm:catLst>
    <dgm:cat type="list" pri="8300"/>
    <dgm:cat type="process" pri="43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40" srcId="0" destId="10" srcOrd="0" destOrd="0"/>
        <dgm:cxn modelId="12" srcId="10" destId="11" srcOrd="0" destOrd="0"/>
        <dgm:cxn modelId="50" srcId="0" destId="20" srcOrd="1" destOrd="0"/>
        <dgm:cxn modelId="22" srcId="20" destId="21" srcOrd="0" destOrd="0"/>
        <dgm:cxn modelId="6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styleData>
  <dgm:clr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clrData>
  <dgm:layoutNode name="Name0">
    <dgm:varLst>
      <dgm:chMax val="7"/>
      <dgm:chPref val="7"/>
      <dgm:dir/>
      <dgm:animOne val="branch"/>
      <dgm:animLvl val="lvl"/>
    </dgm:varLst>
    <dgm:choose name="Name1">
      <dgm:if name="Name2" func="var" arg="dir" op="equ" val="norm">
        <dgm:alg type="lin">
          <dgm:param type="linDir" val="fromL"/>
          <dgm:param type="horzAlign" val="ctr"/>
          <dgm:param type="vertAlign" val="t"/>
        </dgm:alg>
      </dgm:if>
      <dgm:else name="Name3">
        <dgm:alg type="lin">
          <dgm:param type="linDir" val="fromR"/>
          <dgm:param type="horzAlign" val="ctr"/>
          <dgm:param type="vertAlign" val="t"/>
        </dgm:alg>
      </dgm:else>
    </dgm:choose>
    <dgm:shape xmlns:r="http://schemas.openxmlformats.org/officeDocument/2006/relationships" r:blip="">
      <dgm:adjLst/>
    </dgm:shape>
    <dgm:constrLst>
      <dgm:constr type="primFontSz" for="des" forName="Child" val="65"/>
      <dgm:constr type="primFontSz" for="des" forName="Parent" val="65"/>
      <dgm:constr type="primFontSz" for="des" forName="Child" refType="primFontSz" refFor="des" refForName="Parent" op="lte"/>
      <dgm:constr type="w" for="ch" forName="composite" refType="w"/>
      <dgm:constr type="h" for="ch" forName="composite" refType="h"/>
      <dgm:constr type="sp" refType="w" refFor="ch" refForName="composite" op="equ" fact="0.05"/>
      <dgm:constr type="w" for="ch" forName="sibTrans" refType="h" refFor="ch" refForName="composite" op="equ" fact="0.04"/>
    </dgm:constrLst>
    <dgm:forEach name="nodesForEach" axis="ch" ptType="node" cnt="7">
      <dgm:layoutNode name="composite">
        <dgm:alg type="composite">
          <dgm:param type="ar" val="0.8"/>
        </dgm:alg>
        <dgm:choose name="Name4">
          <dgm:if name="Name5" func="var" arg="dir" op="equ" val="norm">
            <dgm:constrLst>
              <dgm:constr type="l" for="ch" forName="Child" refType="w" fact="0.29"/>
              <dgm:constr type="t" for="ch" forName="Child" refType="h" fact="0.192"/>
              <dgm:constr type="w" for="ch" forName="Child" refType="w" fact="0.71"/>
              <dgm:constr type="h" for="ch" forName="Child" refType="h" fact="0.808"/>
              <dgm:constr type="l" for="ch" forName="Parent" refType="w" fact="0.29"/>
              <dgm:constr type="t" for="ch" forName="Parent" refType="h" fact="0"/>
              <dgm:constr type="w" for="ch" forName="Parent" refType="w" fact="0.71"/>
              <dgm:constr type="h" for="ch" forName="Parent" refType="h" fact="0.192"/>
              <dgm:constr type="l" for="ch" forName="BackAccent" refType="w" fact="0"/>
              <dgm:constr type="t" for="ch" forName="BackAccent" refType="h" fact="0"/>
              <dgm:constr type="w" for="ch" forName="BackAccent" refType="w" fact="0.24"/>
              <dgm:constr type="h" for="ch" forName="BackAccent" refType="h" fact="0.192"/>
              <dgm:constr type="l" for="ch" forName="Accent" refType="w" fact="0.024"/>
              <dgm:constr type="t" for="ch" forName="Accent" refType="h" fact="0.0192"/>
              <dgm:constr type="w" for="ch" forName="Accent" refType="w" fact="0.192"/>
              <dgm:constr type="h" for="ch" forName="Accent" refType="h" fact="0.1536"/>
            </dgm:constrLst>
          </dgm:if>
          <dgm:else name="Name6">
            <dgm:constrLst>
              <dgm:constr type="r" for="ch" forName="Child" refType="w" fact="0.71"/>
              <dgm:constr type="t" for="ch" forName="Child" refType="h" fact="0.192"/>
              <dgm:constr type="w" for="ch" forName="Child" refType="w" fact="0.71"/>
              <dgm:constr type="h" for="ch" forName="Child" refType="h" fact="0.808"/>
              <dgm:constr type="r" for="ch" forName="Parent" refType="w" fact="0.71"/>
              <dgm:constr type="t" for="ch" forName="Parent" refType="h" fact="0"/>
              <dgm:constr type="w" for="ch" forName="Parent" refType="w" fact="0.71"/>
              <dgm:constr type="h" for="ch" forName="Parent" refType="h" fact="0.192"/>
              <dgm:constr type="r" for="ch" forName="BackAccent" refType="w"/>
              <dgm:constr type="t" for="ch" forName="BackAccent" refType="h" fact="0"/>
              <dgm:constr type="w" for="ch" forName="BackAccent" refType="w" fact="0.24"/>
              <dgm:constr type="h" for="ch" forName="BackAccent" refType="h" fact="0.192"/>
              <dgm:constr type="r" for="ch" forName="Accent" refType="w" fact="0.976"/>
              <dgm:constr type="t" for="ch" forName="Accent" refType="h" fact="0.0192"/>
              <dgm:constr type="w" for="ch" forName="Accent" refType="w" fact="0.192"/>
              <dgm:constr type="h" for="ch" forName="Accent" refType="h" fact="0.1536"/>
            </dgm:constrLst>
          </dgm:else>
        </dgm:choose>
        <dgm:layoutNode name="BackAccent" styleLbl="bgShp">
          <dgm:alg type="sp"/>
          <dgm:shape xmlns:r="http://schemas.openxmlformats.org/officeDocument/2006/relationships" type="ellipse" r:blip="">
            <dgm:adjLst/>
          </dgm:shape>
          <dgm:presOf/>
        </dgm:layoutNode>
        <dgm:layoutNode name="Accent" styleLbl="alignNode1">
          <dgm:alg type="sp"/>
          <dgm:choose name="Name7">
            <dgm:if name="Name8" axis="precedSib" ptType="node" func="cnt" op="equ" val="0">
              <dgm:choose name="Name9">
                <dgm:if name="Name10" axis="followSib" ptType="node" func="cnt" op="equ" val="0">
                  <dgm:shape xmlns:r="http://schemas.openxmlformats.org/officeDocument/2006/relationships" type="chord" r:blip="">
                    <dgm:adjLst>
                      <dgm:adj idx="1" val="-90"/>
                      <dgm:adj idx="2" val="-90"/>
                    </dgm:adjLst>
                  </dgm:shape>
                </dgm:if>
                <dgm:if name="Name11" axis="followSib" ptType="node" func="cnt" op="equ" val="1">
                  <dgm:shape xmlns:r="http://schemas.openxmlformats.org/officeDocument/2006/relationships" type="chord" r:blip="">
                    <dgm:adjLst>
                      <dgm:adj idx="1" val="0"/>
                      <dgm:adj idx="2" val="180"/>
                    </dgm:adjLst>
                  </dgm:shape>
                </dgm:if>
                <dgm:if name="Name12" axis="followSib" ptType="node" func="cnt" op="equ" val="2">
                  <dgm:shape xmlns:r="http://schemas.openxmlformats.org/officeDocument/2006/relationships" type="chord" r:blip="">
                    <dgm:adjLst>
                      <dgm:adj idx="1" val="19.4712"/>
                      <dgm:adj idx="2" val="160.5288"/>
                    </dgm:adjLst>
                  </dgm:shape>
                </dgm:if>
                <dgm:if name="Name13" axis="followSib" ptType="node" func="cnt" op="equ" val="3">
                  <dgm:shape xmlns:r="http://schemas.openxmlformats.org/officeDocument/2006/relationships" type="chord" r:blip="">
                    <dgm:adjLst>
                      <dgm:adj idx="1" val="30"/>
                      <dgm:adj idx="2" val="150"/>
                    </dgm:adjLst>
                  </dgm:shape>
                </dgm:if>
                <dgm:if name="Name14" axis="followSib" ptType="node" func="cnt" op="equ" val="4">
                  <dgm:shape xmlns:r="http://schemas.openxmlformats.org/officeDocument/2006/relationships" type="chord" r:blip="">
                    <dgm:adjLst>
                      <dgm:adj idx="1" val="38.8699"/>
                      <dgm:adj idx="2" val="143.1301"/>
                    </dgm:adjLst>
                  </dgm:shape>
                </dgm:if>
                <dgm:if name="Name15" axis="followSib" ptType="node" func="cnt" op="equ" val="5">
                  <dgm:shape xmlns:r="http://schemas.openxmlformats.org/officeDocument/2006/relationships" type="chord" r:blip="">
                    <dgm:adjLst>
                      <dgm:adj idx="1" val="41.8103"/>
                      <dgm:adj idx="2" val="138.1897"/>
                    </dgm:adjLst>
                  </dgm:shape>
                </dgm:if>
                <dgm:else name="Name16">
                  <dgm:shape xmlns:r="http://schemas.openxmlformats.org/officeDocument/2006/relationships" type="chord" r:blip="">
                    <dgm:adjLst>
                      <dgm:adj idx="1" val="45.5847"/>
                      <dgm:adj idx="2" val="134.4153"/>
                    </dgm:adjLst>
                  </dgm:shape>
                </dgm:else>
              </dgm:choose>
            </dgm:if>
            <dgm:if name="Name17" axis="precedSib" ptType="node" func="cnt" op="equ" val="1">
              <dgm:choose name="Name18">
                <dgm:if name="Name19" axis="followSib" ptType="node" func="cnt" op="equ" val="0">
                  <dgm:shape xmlns:r="http://schemas.openxmlformats.org/officeDocument/2006/relationships" type="chord" r:blip="">
                    <dgm:adjLst>
                      <dgm:adj idx="1" val="-90"/>
                      <dgm:adj idx="2" val="-90"/>
                    </dgm:adjLst>
                  </dgm:shape>
                </dgm:if>
                <dgm:if name="Name20" axis="followSib" ptType="node" func="cnt" op="equ" val="1">
                  <dgm:shape xmlns:r="http://schemas.openxmlformats.org/officeDocument/2006/relationships" type="chord" r:blip="">
                    <dgm:adjLst>
                      <dgm:adj idx="1" val="-19.4712"/>
                      <dgm:adj idx="2" val="-160.5288"/>
                    </dgm:adjLst>
                  </dgm:shape>
                </dgm:if>
                <dgm:if name="Name21" axis="followSib" ptType="node" func="cnt" op="equ" val="2">
                  <dgm:shape xmlns:r="http://schemas.openxmlformats.org/officeDocument/2006/relationships" type="chord" r:blip="">
                    <dgm:adjLst>
                      <dgm:adj idx="1" val="0"/>
                      <dgm:adj idx="2" val="180"/>
                    </dgm:adjLst>
                  </dgm:shape>
                </dgm:if>
                <dgm:if name="Name22" axis="followSib" ptType="node" func="cnt" op="equ" val="3">
                  <dgm:shape xmlns:r="http://schemas.openxmlformats.org/officeDocument/2006/relationships" type="chord" r:blip="">
                    <dgm:adjLst>
                      <dgm:adj idx="1" val="11.537"/>
                      <dgm:adj idx="2" val="168.463"/>
                    </dgm:adjLst>
                  </dgm:shape>
                </dgm:if>
                <dgm:if name="Name23" axis="followSib" ptType="node" func="cnt" op="equ" val="4">
                  <dgm:shape xmlns:r="http://schemas.openxmlformats.org/officeDocument/2006/relationships" type="chord" r:blip="">
                    <dgm:adjLst>
                      <dgm:adj idx="1" val="19.4712"/>
                      <dgm:adj idx="2" val="160.5288"/>
                    </dgm:adjLst>
                  </dgm:shape>
                </dgm:if>
                <dgm:else name="Name24">
                  <dgm:shape xmlns:r="http://schemas.openxmlformats.org/officeDocument/2006/relationships" type="chord" r:blip="">
                    <dgm:adjLst>
                      <dgm:adj idx="1" val="25.3769"/>
                      <dgm:adj idx="2" val="154.6231"/>
                    </dgm:adjLst>
                  </dgm:shape>
                </dgm:else>
              </dgm:choose>
            </dgm:if>
            <dgm:if name="Name25" axis="precedSib" ptType="node" func="cnt" op="equ" val="2">
              <dgm:choose name="Name26">
                <dgm:if name="Name27" axis="followSib" ptType="node" func="cnt" op="equ" val="0">
                  <dgm:shape xmlns:r="http://schemas.openxmlformats.org/officeDocument/2006/relationships" type="chord" r:blip="">
                    <dgm:adjLst>
                      <dgm:adj idx="1" val="-90"/>
                      <dgm:adj idx="2" val="-90"/>
                    </dgm:adjLst>
                  </dgm:shape>
                </dgm:if>
                <dgm:if name="Name28" axis="followSib" ptType="node" func="cnt" op="equ" val="1">
                  <dgm:shape xmlns:r="http://schemas.openxmlformats.org/officeDocument/2006/relationships" type="chord" r:blip="">
                    <dgm:adjLst>
                      <dgm:adj idx="1" val="-30"/>
                      <dgm:adj idx="2" val="-150"/>
                    </dgm:adjLst>
                  </dgm:shape>
                </dgm:if>
                <dgm:if name="Name29" axis="followSib" ptType="node" func="cnt" op="equ" val="2">
                  <dgm:shape xmlns:r="http://schemas.openxmlformats.org/officeDocument/2006/relationships" type="chord" r:blip="">
                    <dgm:adjLst>
                      <dgm:adj idx="1" val="-11.537"/>
                      <dgm:adj idx="2" val="-168.463"/>
                    </dgm:adjLst>
                  </dgm:shape>
                </dgm:if>
                <dgm:if name="Name30" axis="followSib" ptType="node" func="cnt" op="equ" val="3">
                  <dgm:shape xmlns:r="http://schemas.openxmlformats.org/officeDocument/2006/relationships" type="chord" r:blip="">
                    <dgm:adjLst>
                      <dgm:adj idx="1" val="0"/>
                      <dgm:adj idx="2" val="180"/>
                    </dgm:adjLst>
                  </dgm:shape>
                </dgm:if>
                <dgm:else name="Name31">
                  <dgm:shape xmlns:r="http://schemas.openxmlformats.org/officeDocument/2006/relationships" type="chord" r:blip="">
                    <dgm:adjLst>
                      <dgm:adj idx="1" val="8.2133"/>
                      <dgm:adj idx="2" val="171.7867"/>
                    </dgm:adjLst>
                  </dgm:shape>
                </dgm:else>
              </dgm:choose>
            </dgm:if>
            <dgm:if name="Name32" axis="precedSib" ptType="node" func="cnt" op="equ" val="3">
              <dgm:choose name="Name33">
                <dgm:if name="Name34" axis="followSib" ptType="node" func="cnt" op="equ" val="0">
                  <dgm:shape xmlns:r="http://schemas.openxmlformats.org/officeDocument/2006/relationships" type="chord" r:blip="">
                    <dgm:adjLst>
                      <dgm:adj idx="1" val="-90"/>
                      <dgm:adj idx="2" val="-90"/>
                    </dgm:adjLst>
                  </dgm:shape>
                </dgm:if>
                <dgm:if name="Name35" axis="followSib" ptType="node" func="cnt" op="equ" val="1">
                  <dgm:shape xmlns:r="http://schemas.openxmlformats.org/officeDocument/2006/relationships" type="chord" r:blip="">
                    <dgm:adjLst>
                      <dgm:adj idx="1" val="-38.8699"/>
                      <dgm:adj idx="2" val="-143.1301"/>
                    </dgm:adjLst>
                  </dgm:shape>
                </dgm:if>
                <dgm:if name="Name36" axis="followSib" ptType="node" func="cnt" op="equ" val="2">
                  <dgm:shape xmlns:r="http://schemas.openxmlformats.org/officeDocument/2006/relationships" type="chord" r:blip="">
                    <dgm:adjLst>
                      <dgm:adj idx="1" val="-19.4712"/>
                      <dgm:adj idx="2" val="-160.5288"/>
                    </dgm:adjLst>
                  </dgm:shape>
                </dgm:if>
                <dgm:else name="Name37">
                  <dgm:shape xmlns:r="http://schemas.openxmlformats.org/officeDocument/2006/relationships" type="chord" r:blip="">
                    <dgm:adjLst>
                      <dgm:adj idx="1" val="-8.2133"/>
                      <dgm:adj idx="2" val="-171.7867"/>
                    </dgm:adjLst>
                  </dgm:shape>
                </dgm:else>
              </dgm:choose>
            </dgm:if>
            <dgm:if name="Name38" axis="precedSib" ptType="node" func="cnt" op="equ" val="4">
              <dgm:choose name="Name39">
                <dgm:if name="Name40" axis="followSib" ptType="node" func="cnt" op="equ" val="0">
                  <dgm:shape xmlns:r="http://schemas.openxmlformats.org/officeDocument/2006/relationships" type="chord" r:blip="">
                    <dgm:adjLst>
                      <dgm:adj idx="1" val="-90"/>
                      <dgm:adj idx="2" val="-90"/>
                    </dgm:adjLst>
                  </dgm:shape>
                </dgm:if>
                <dgm:if name="Name41" axis="followSib" ptType="node" func="cnt" op="equ" val="1">
                  <dgm:shape xmlns:r="http://schemas.openxmlformats.org/officeDocument/2006/relationships" type="chord" r:blip="">
                    <dgm:adjLst>
                      <dgm:adj idx="1" val="-41.8103"/>
                      <dgm:adj idx="2" val="-138.1897"/>
                    </dgm:adjLst>
                  </dgm:shape>
                </dgm:if>
                <dgm:else name="Name42">
                  <dgm:shape xmlns:r="http://schemas.openxmlformats.org/officeDocument/2006/relationships" type="chord" r:blip="">
                    <dgm:adjLst>
                      <dgm:adj idx="1" val="-25.3769"/>
                      <dgm:adj idx="2" val="-154.6231"/>
                    </dgm:adjLst>
                  </dgm:shape>
                </dgm:else>
              </dgm:choose>
            </dgm:if>
            <dgm:if name="Name43" axis="precedSib" ptType="node" func="cnt" op="equ" val="5">
              <dgm:choose name="Name44">
                <dgm:if name="Name45" axis="followSib" ptType="node" func="cnt" op="equ" val="0">
                  <dgm:shape xmlns:r="http://schemas.openxmlformats.org/officeDocument/2006/relationships" type="chord" r:blip="">
                    <dgm:adjLst>
                      <dgm:adj idx="1" val="-90"/>
                      <dgm:adj idx="2" val="-90"/>
                    </dgm:adjLst>
                  </dgm:shape>
                </dgm:if>
                <dgm:else name="Name46">
                  <dgm:shape xmlns:r="http://schemas.openxmlformats.org/officeDocument/2006/relationships" type="chord" r:blip="">
                    <dgm:adjLst>
                      <dgm:adj idx="1" val="-45.5847"/>
                      <dgm:adj idx="2" val="-134.4153"/>
                    </dgm:adjLst>
                  </dgm:shape>
                </dgm:else>
              </dgm:choose>
            </dgm:if>
            <dgm:else name="Name47">
              <dgm:shape xmlns:r="http://schemas.openxmlformats.org/officeDocument/2006/relationships" type="chord" r:blip="">
                <dgm:adjLst>
                  <dgm:adj idx="1" val="-90"/>
                  <dgm:adj idx="2" val="-90"/>
                </dgm:adjLst>
              </dgm:shape>
            </dgm:else>
          </dgm:choose>
          <dgm:presOf/>
        </dgm:layoutNode>
        <dgm:layoutNode name="Child" styleLbl="revTx">
          <dgm:varLst>
            <dgm:chMax val="0"/>
            <dgm:chPref val="0"/>
            <dgm:bulletEnabled val="1"/>
          </dgm:varLst>
          <dgm:choose name="Name48">
            <dgm:if name="Name49" func="var" arg="dir" op="equ" val="norm">
              <dgm:alg type="tx">
                <dgm:param type="parTxLTRAlign" val="l"/>
                <dgm:param type="parTxRTLAlign" val="l"/>
                <dgm:param type="txAnchorVert" val="t"/>
              </dgm:alg>
            </dgm:if>
            <dgm:else name="Name50">
              <dgm:alg type="tx">
                <dgm:param type="parTxLTRAlign" val="r"/>
                <dgm:param type="parTxRTLAlign" val="r"/>
                <dgm:param type="txAnchorVert" val="t"/>
              </dgm:alg>
            </dgm:else>
          </dgm:choose>
          <dgm:choose name="Name51">
            <dgm:if name="Name52" axis="ch" ptType="node" func="cnt" op="gte" val="1">
              <dgm:shape xmlns:r="http://schemas.openxmlformats.org/officeDocument/2006/relationships" type="rect" r:blip="">
                <dgm:adjLst/>
              </dgm:shape>
            </dgm:if>
            <dgm:else name="Name53">
              <dgm:shape xmlns:r="http://schemas.openxmlformats.org/officeDocument/2006/relationships" type="rect" r:blip="" hideGeom="1">
                <dgm:adjLst/>
              </dgm:shape>
            </dgm:else>
          </dgm:choose>
          <dgm:choose name="Name54">
            <dgm:if name="Name55" axis="ch" ptType="node" func="cnt" op="gte" val="1">
              <dgm:presOf axis="des" ptType="node"/>
            </dgm:if>
            <dgm:else name="Name56">
              <dgm:presOf/>
            </dgm:else>
          </dgm:choos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name="Parent" styleLbl="revTx">
          <dgm:varLst>
            <dgm:chMax val="1"/>
            <dgm:chPref val="1"/>
            <dgm:bulletEnabled val="1"/>
          </dgm:varLst>
          <dgm:choose name="Name57">
            <dgm:if name="Name58" func="var" arg="dir" op="equ" val="norm">
              <dgm:alg type="tx">
                <dgm:param type="parTxLTRAlign" val="l"/>
                <dgm:param type="parTxRTLAlign" val="l"/>
                <dgm:param type="shpTxLTRAlignCh" val="l"/>
                <dgm:param type="shpTxRTLAlignCh" val="l"/>
                <dgm:param type="txAnchorVert" val="b"/>
                <dgm:param type="txAnchorVertCh" val="b"/>
              </dgm:alg>
            </dgm:if>
            <dgm:else name="Name59">
              <dgm:alg type="tx">
                <dgm:param type="parTxLTRAlign" val="r"/>
                <dgm:param type="parTxRTLAlign" val="r"/>
                <dgm:param type="shpTxLTRAlignCh" val="r"/>
                <dgm:param type="shpTxRTLAlignCh" val="r"/>
                <dgm:param type="txAnchorVert" val="b"/>
                <dgm:param type="txAnchorVertCh" val="b"/>
              </dgm:alg>
            </dgm:else>
          </dgm:choose>
          <dgm:shape xmlns:r="http://schemas.openxmlformats.org/officeDocument/2006/relationships" type="rect" r:blip="">
            <dgm:adjLst/>
          </dgm:shape>
          <dgm:presOf axis="self" ptType="nod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4.xml><?xml version="1.0" encoding="utf-8"?>
<dgm:layoutDef xmlns:dgm="http://schemas.openxmlformats.org/drawingml/2006/diagram" xmlns:a="http://schemas.openxmlformats.org/drawingml/2006/main" uniqueId="urn:microsoft.com/office/officeart/2008/layout/IncreasingCircleProcess">
  <dgm:title val=""/>
  <dgm:desc val=""/>
  <dgm:catLst>
    <dgm:cat type="list" pri="8300"/>
    <dgm:cat type="process" pri="43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40" srcId="0" destId="10" srcOrd="0" destOrd="0"/>
        <dgm:cxn modelId="12" srcId="10" destId="11" srcOrd="0" destOrd="0"/>
        <dgm:cxn modelId="50" srcId="0" destId="20" srcOrd="1" destOrd="0"/>
        <dgm:cxn modelId="22" srcId="20" destId="21" srcOrd="0" destOrd="0"/>
        <dgm:cxn modelId="6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styleData>
  <dgm:clr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clrData>
  <dgm:layoutNode name="Name0">
    <dgm:varLst>
      <dgm:chMax val="7"/>
      <dgm:chPref val="7"/>
      <dgm:dir/>
      <dgm:animOne val="branch"/>
      <dgm:animLvl val="lvl"/>
    </dgm:varLst>
    <dgm:choose name="Name1">
      <dgm:if name="Name2" func="var" arg="dir" op="equ" val="norm">
        <dgm:alg type="lin">
          <dgm:param type="linDir" val="fromL"/>
          <dgm:param type="horzAlign" val="ctr"/>
          <dgm:param type="vertAlign" val="t"/>
        </dgm:alg>
      </dgm:if>
      <dgm:else name="Name3">
        <dgm:alg type="lin">
          <dgm:param type="linDir" val="fromR"/>
          <dgm:param type="horzAlign" val="ctr"/>
          <dgm:param type="vertAlign" val="t"/>
        </dgm:alg>
      </dgm:else>
    </dgm:choose>
    <dgm:shape xmlns:r="http://schemas.openxmlformats.org/officeDocument/2006/relationships" r:blip="">
      <dgm:adjLst/>
    </dgm:shape>
    <dgm:constrLst>
      <dgm:constr type="primFontSz" for="des" forName="Child" val="65"/>
      <dgm:constr type="primFontSz" for="des" forName="Parent" val="65"/>
      <dgm:constr type="primFontSz" for="des" forName="Child" refType="primFontSz" refFor="des" refForName="Parent" op="lte"/>
      <dgm:constr type="w" for="ch" forName="composite" refType="w"/>
      <dgm:constr type="h" for="ch" forName="composite" refType="h"/>
      <dgm:constr type="sp" refType="w" refFor="ch" refForName="composite" op="equ" fact="0.05"/>
      <dgm:constr type="w" for="ch" forName="sibTrans" refType="h" refFor="ch" refForName="composite" op="equ" fact="0.04"/>
    </dgm:constrLst>
    <dgm:forEach name="nodesForEach" axis="ch" ptType="node" cnt="7">
      <dgm:layoutNode name="composite">
        <dgm:alg type="composite">
          <dgm:param type="ar" val="0.8"/>
        </dgm:alg>
        <dgm:choose name="Name4">
          <dgm:if name="Name5" func="var" arg="dir" op="equ" val="norm">
            <dgm:constrLst>
              <dgm:constr type="l" for="ch" forName="Child" refType="w" fact="0.29"/>
              <dgm:constr type="t" for="ch" forName="Child" refType="h" fact="0.192"/>
              <dgm:constr type="w" for="ch" forName="Child" refType="w" fact="0.71"/>
              <dgm:constr type="h" for="ch" forName="Child" refType="h" fact="0.808"/>
              <dgm:constr type="l" for="ch" forName="Parent" refType="w" fact="0.29"/>
              <dgm:constr type="t" for="ch" forName="Parent" refType="h" fact="0"/>
              <dgm:constr type="w" for="ch" forName="Parent" refType="w" fact="0.71"/>
              <dgm:constr type="h" for="ch" forName="Parent" refType="h" fact="0.192"/>
              <dgm:constr type="l" for="ch" forName="BackAccent" refType="w" fact="0"/>
              <dgm:constr type="t" for="ch" forName="BackAccent" refType="h" fact="0"/>
              <dgm:constr type="w" for="ch" forName="BackAccent" refType="w" fact="0.24"/>
              <dgm:constr type="h" for="ch" forName="BackAccent" refType="h" fact="0.192"/>
              <dgm:constr type="l" for="ch" forName="Accent" refType="w" fact="0.024"/>
              <dgm:constr type="t" for="ch" forName="Accent" refType="h" fact="0.0192"/>
              <dgm:constr type="w" for="ch" forName="Accent" refType="w" fact="0.192"/>
              <dgm:constr type="h" for="ch" forName="Accent" refType="h" fact="0.1536"/>
            </dgm:constrLst>
          </dgm:if>
          <dgm:else name="Name6">
            <dgm:constrLst>
              <dgm:constr type="r" for="ch" forName="Child" refType="w" fact="0.71"/>
              <dgm:constr type="t" for="ch" forName="Child" refType="h" fact="0.192"/>
              <dgm:constr type="w" for="ch" forName="Child" refType="w" fact="0.71"/>
              <dgm:constr type="h" for="ch" forName="Child" refType="h" fact="0.808"/>
              <dgm:constr type="r" for="ch" forName="Parent" refType="w" fact="0.71"/>
              <dgm:constr type="t" for="ch" forName="Parent" refType="h" fact="0"/>
              <dgm:constr type="w" for="ch" forName="Parent" refType="w" fact="0.71"/>
              <dgm:constr type="h" for="ch" forName="Parent" refType="h" fact="0.192"/>
              <dgm:constr type="r" for="ch" forName="BackAccent" refType="w"/>
              <dgm:constr type="t" for="ch" forName="BackAccent" refType="h" fact="0"/>
              <dgm:constr type="w" for="ch" forName="BackAccent" refType="w" fact="0.24"/>
              <dgm:constr type="h" for="ch" forName="BackAccent" refType="h" fact="0.192"/>
              <dgm:constr type="r" for="ch" forName="Accent" refType="w" fact="0.976"/>
              <dgm:constr type="t" for="ch" forName="Accent" refType="h" fact="0.0192"/>
              <dgm:constr type="w" for="ch" forName="Accent" refType="w" fact="0.192"/>
              <dgm:constr type="h" for="ch" forName="Accent" refType="h" fact="0.1536"/>
            </dgm:constrLst>
          </dgm:else>
        </dgm:choose>
        <dgm:layoutNode name="BackAccent" styleLbl="bgShp">
          <dgm:alg type="sp"/>
          <dgm:shape xmlns:r="http://schemas.openxmlformats.org/officeDocument/2006/relationships" type="ellipse" r:blip="">
            <dgm:adjLst/>
          </dgm:shape>
          <dgm:presOf/>
        </dgm:layoutNode>
        <dgm:layoutNode name="Accent" styleLbl="alignNode1">
          <dgm:alg type="sp"/>
          <dgm:choose name="Name7">
            <dgm:if name="Name8" axis="precedSib" ptType="node" func="cnt" op="equ" val="0">
              <dgm:choose name="Name9">
                <dgm:if name="Name10" axis="followSib" ptType="node" func="cnt" op="equ" val="0">
                  <dgm:shape xmlns:r="http://schemas.openxmlformats.org/officeDocument/2006/relationships" type="chord" r:blip="">
                    <dgm:adjLst>
                      <dgm:adj idx="1" val="-90"/>
                      <dgm:adj idx="2" val="-90"/>
                    </dgm:adjLst>
                  </dgm:shape>
                </dgm:if>
                <dgm:if name="Name11" axis="followSib" ptType="node" func="cnt" op="equ" val="1">
                  <dgm:shape xmlns:r="http://schemas.openxmlformats.org/officeDocument/2006/relationships" type="chord" r:blip="">
                    <dgm:adjLst>
                      <dgm:adj idx="1" val="0"/>
                      <dgm:adj idx="2" val="180"/>
                    </dgm:adjLst>
                  </dgm:shape>
                </dgm:if>
                <dgm:if name="Name12" axis="followSib" ptType="node" func="cnt" op="equ" val="2">
                  <dgm:shape xmlns:r="http://schemas.openxmlformats.org/officeDocument/2006/relationships" type="chord" r:blip="">
                    <dgm:adjLst>
                      <dgm:adj idx="1" val="19.4712"/>
                      <dgm:adj idx="2" val="160.5288"/>
                    </dgm:adjLst>
                  </dgm:shape>
                </dgm:if>
                <dgm:if name="Name13" axis="followSib" ptType="node" func="cnt" op="equ" val="3">
                  <dgm:shape xmlns:r="http://schemas.openxmlformats.org/officeDocument/2006/relationships" type="chord" r:blip="">
                    <dgm:adjLst>
                      <dgm:adj idx="1" val="30"/>
                      <dgm:adj idx="2" val="150"/>
                    </dgm:adjLst>
                  </dgm:shape>
                </dgm:if>
                <dgm:if name="Name14" axis="followSib" ptType="node" func="cnt" op="equ" val="4">
                  <dgm:shape xmlns:r="http://schemas.openxmlformats.org/officeDocument/2006/relationships" type="chord" r:blip="">
                    <dgm:adjLst>
                      <dgm:adj idx="1" val="38.8699"/>
                      <dgm:adj idx="2" val="143.1301"/>
                    </dgm:adjLst>
                  </dgm:shape>
                </dgm:if>
                <dgm:if name="Name15" axis="followSib" ptType="node" func="cnt" op="equ" val="5">
                  <dgm:shape xmlns:r="http://schemas.openxmlformats.org/officeDocument/2006/relationships" type="chord" r:blip="">
                    <dgm:adjLst>
                      <dgm:adj idx="1" val="41.8103"/>
                      <dgm:adj idx="2" val="138.1897"/>
                    </dgm:adjLst>
                  </dgm:shape>
                </dgm:if>
                <dgm:else name="Name16">
                  <dgm:shape xmlns:r="http://schemas.openxmlformats.org/officeDocument/2006/relationships" type="chord" r:blip="">
                    <dgm:adjLst>
                      <dgm:adj idx="1" val="45.5847"/>
                      <dgm:adj idx="2" val="134.4153"/>
                    </dgm:adjLst>
                  </dgm:shape>
                </dgm:else>
              </dgm:choose>
            </dgm:if>
            <dgm:if name="Name17" axis="precedSib" ptType="node" func="cnt" op="equ" val="1">
              <dgm:choose name="Name18">
                <dgm:if name="Name19" axis="followSib" ptType="node" func="cnt" op="equ" val="0">
                  <dgm:shape xmlns:r="http://schemas.openxmlformats.org/officeDocument/2006/relationships" type="chord" r:blip="">
                    <dgm:adjLst>
                      <dgm:adj idx="1" val="-90"/>
                      <dgm:adj idx="2" val="-90"/>
                    </dgm:adjLst>
                  </dgm:shape>
                </dgm:if>
                <dgm:if name="Name20" axis="followSib" ptType="node" func="cnt" op="equ" val="1">
                  <dgm:shape xmlns:r="http://schemas.openxmlformats.org/officeDocument/2006/relationships" type="chord" r:blip="">
                    <dgm:adjLst>
                      <dgm:adj idx="1" val="-19.4712"/>
                      <dgm:adj idx="2" val="-160.5288"/>
                    </dgm:adjLst>
                  </dgm:shape>
                </dgm:if>
                <dgm:if name="Name21" axis="followSib" ptType="node" func="cnt" op="equ" val="2">
                  <dgm:shape xmlns:r="http://schemas.openxmlformats.org/officeDocument/2006/relationships" type="chord" r:blip="">
                    <dgm:adjLst>
                      <dgm:adj idx="1" val="0"/>
                      <dgm:adj idx="2" val="180"/>
                    </dgm:adjLst>
                  </dgm:shape>
                </dgm:if>
                <dgm:if name="Name22" axis="followSib" ptType="node" func="cnt" op="equ" val="3">
                  <dgm:shape xmlns:r="http://schemas.openxmlformats.org/officeDocument/2006/relationships" type="chord" r:blip="">
                    <dgm:adjLst>
                      <dgm:adj idx="1" val="11.537"/>
                      <dgm:adj idx="2" val="168.463"/>
                    </dgm:adjLst>
                  </dgm:shape>
                </dgm:if>
                <dgm:if name="Name23" axis="followSib" ptType="node" func="cnt" op="equ" val="4">
                  <dgm:shape xmlns:r="http://schemas.openxmlformats.org/officeDocument/2006/relationships" type="chord" r:blip="">
                    <dgm:adjLst>
                      <dgm:adj idx="1" val="19.4712"/>
                      <dgm:adj idx="2" val="160.5288"/>
                    </dgm:adjLst>
                  </dgm:shape>
                </dgm:if>
                <dgm:else name="Name24">
                  <dgm:shape xmlns:r="http://schemas.openxmlformats.org/officeDocument/2006/relationships" type="chord" r:blip="">
                    <dgm:adjLst>
                      <dgm:adj idx="1" val="25.3769"/>
                      <dgm:adj idx="2" val="154.6231"/>
                    </dgm:adjLst>
                  </dgm:shape>
                </dgm:else>
              </dgm:choose>
            </dgm:if>
            <dgm:if name="Name25" axis="precedSib" ptType="node" func="cnt" op="equ" val="2">
              <dgm:choose name="Name26">
                <dgm:if name="Name27" axis="followSib" ptType="node" func="cnt" op="equ" val="0">
                  <dgm:shape xmlns:r="http://schemas.openxmlformats.org/officeDocument/2006/relationships" type="chord" r:blip="">
                    <dgm:adjLst>
                      <dgm:adj idx="1" val="-90"/>
                      <dgm:adj idx="2" val="-90"/>
                    </dgm:adjLst>
                  </dgm:shape>
                </dgm:if>
                <dgm:if name="Name28" axis="followSib" ptType="node" func="cnt" op="equ" val="1">
                  <dgm:shape xmlns:r="http://schemas.openxmlformats.org/officeDocument/2006/relationships" type="chord" r:blip="">
                    <dgm:adjLst>
                      <dgm:adj idx="1" val="-30"/>
                      <dgm:adj idx="2" val="-150"/>
                    </dgm:adjLst>
                  </dgm:shape>
                </dgm:if>
                <dgm:if name="Name29" axis="followSib" ptType="node" func="cnt" op="equ" val="2">
                  <dgm:shape xmlns:r="http://schemas.openxmlformats.org/officeDocument/2006/relationships" type="chord" r:blip="">
                    <dgm:adjLst>
                      <dgm:adj idx="1" val="-11.537"/>
                      <dgm:adj idx="2" val="-168.463"/>
                    </dgm:adjLst>
                  </dgm:shape>
                </dgm:if>
                <dgm:if name="Name30" axis="followSib" ptType="node" func="cnt" op="equ" val="3">
                  <dgm:shape xmlns:r="http://schemas.openxmlformats.org/officeDocument/2006/relationships" type="chord" r:blip="">
                    <dgm:adjLst>
                      <dgm:adj idx="1" val="0"/>
                      <dgm:adj idx="2" val="180"/>
                    </dgm:adjLst>
                  </dgm:shape>
                </dgm:if>
                <dgm:else name="Name31">
                  <dgm:shape xmlns:r="http://schemas.openxmlformats.org/officeDocument/2006/relationships" type="chord" r:blip="">
                    <dgm:adjLst>
                      <dgm:adj idx="1" val="8.2133"/>
                      <dgm:adj idx="2" val="171.7867"/>
                    </dgm:adjLst>
                  </dgm:shape>
                </dgm:else>
              </dgm:choose>
            </dgm:if>
            <dgm:if name="Name32" axis="precedSib" ptType="node" func="cnt" op="equ" val="3">
              <dgm:choose name="Name33">
                <dgm:if name="Name34" axis="followSib" ptType="node" func="cnt" op="equ" val="0">
                  <dgm:shape xmlns:r="http://schemas.openxmlformats.org/officeDocument/2006/relationships" type="chord" r:blip="">
                    <dgm:adjLst>
                      <dgm:adj idx="1" val="-90"/>
                      <dgm:adj idx="2" val="-90"/>
                    </dgm:adjLst>
                  </dgm:shape>
                </dgm:if>
                <dgm:if name="Name35" axis="followSib" ptType="node" func="cnt" op="equ" val="1">
                  <dgm:shape xmlns:r="http://schemas.openxmlformats.org/officeDocument/2006/relationships" type="chord" r:blip="">
                    <dgm:adjLst>
                      <dgm:adj idx="1" val="-38.8699"/>
                      <dgm:adj idx="2" val="-143.1301"/>
                    </dgm:adjLst>
                  </dgm:shape>
                </dgm:if>
                <dgm:if name="Name36" axis="followSib" ptType="node" func="cnt" op="equ" val="2">
                  <dgm:shape xmlns:r="http://schemas.openxmlformats.org/officeDocument/2006/relationships" type="chord" r:blip="">
                    <dgm:adjLst>
                      <dgm:adj idx="1" val="-19.4712"/>
                      <dgm:adj idx="2" val="-160.5288"/>
                    </dgm:adjLst>
                  </dgm:shape>
                </dgm:if>
                <dgm:else name="Name37">
                  <dgm:shape xmlns:r="http://schemas.openxmlformats.org/officeDocument/2006/relationships" type="chord" r:blip="">
                    <dgm:adjLst>
                      <dgm:adj idx="1" val="-8.2133"/>
                      <dgm:adj idx="2" val="-171.7867"/>
                    </dgm:adjLst>
                  </dgm:shape>
                </dgm:else>
              </dgm:choose>
            </dgm:if>
            <dgm:if name="Name38" axis="precedSib" ptType="node" func="cnt" op="equ" val="4">
              <dgm:choose name="Name39">
                <dgm:if name="Name40" axis="followSib" ptType="node" func="cnt" op="equ" val="0">
                  <dgm:shape xmlns:r="http://schemas.openxmlformats.org/officeDocument/2006/relationships" type="chord" r:blip="">
                    <dgm:adjLst>
                      <dgm:adj idx="1" val="-90"/>
                      <dgm:adj idx="2" val="-90"/>
                    </dgm:adjLst>
                  </dgm:shape>
                </dgm:if>
                <dgm:if name="Name41" axis="followSib" ptType="node" func="cnt" op="equ" val="1">
                  <dgm:shape xmlns:r="http://schemas.openxmlformats.org/officeDocument/2006/relationships" type="chord" r:blip="">
                    <dgm:adjLst>
                      <dgm:adj idx="1" val="-41.8103"/>
                      <dgm:adj idx="2" val="-138.1897"/>
                    </dgm:adjLst>
                  </dgm:shape>
                </dgm:if>
                <dgm:else name="Name42">
                  <dgm:shape xmlns:r="http://schemas.openxmlformats.org/officeDocument/2006/relationships" type="chord" r:blip="">
                    <dgm:adjLst>
                      <dgm:adj idx="1" val="-25.3769"/>
                      <dgm:adj idx="2" val="-154.6231"/>
                    </dgm:adjLst>
                  </dgm:shape>
                </dgm:else>
              </dgm:choose>
            </dgm:if>
            <dgm:if name="Name43" axis="precedSib" ptType="node" func="cnt" op="equ" val="5">
              <dgm:choose name="Name44">
                <dgm:if name="Name45" axis="followSib" ptType="node" func="cnt" op="equ" val="0">
                  <dgm:shape xmlns:r="http://schemas.openxmlformats.org/officeDocument/2006/relationships" type="chord" r:blip="">
                    <dgm:adjLst>
                      <dgm:adj idx="1" val="-90"/>
                      <dgm:adj idx="2" val="-90"/>
                    </dgm:adjLst>
                  </dgm:shape>
                </dgm:if>
                <dgm:else name="Name46">
                  <dgm:shape xmlns:r="http://schemas.openxmlformats.org/officeDocument/2006/relationships" type="chord" r:blip="">
                    <dgm:adjLst>
                      <dgm:adj idx="1" val="-45.5847"/>
                      <dgm:adj idx="2" val="-134.4153"/>
                    </dgm:adjLst>
                  </dgm:shape>
                </dgm:else>
              </dgm:choose>
            </dgm:if>
            <dgm:else name="Name47">
              <dgm:shape xmlns:r="http://schemas.openxmlformats.org/officeDocument/2006/relationships" type="chord" r:blip="">
                <dgm:adjLst>
                  <dgm:adj idx="1" val="-90"/>
                  <dgm:adj idx="2" val="-90"/>
                </dgm:adjLst>
              </dgm:shape>
            </dgm:else>
          </dgm:choose>
          <dgm:presOf/>
        </dgm:layoutNode>
        <dgm:layoutNode name="Child" styleLbl="revTx">
          <dgm:varLst>
            <dgm:chMax val="0"/>
            <dgm:chPref val="0"/>
            <dgm:bulletEnabled val="1"/>
          </dgm:varLst>
          <dgm:choose name="Name48">
            <dgm:if name="Name49" func="var" arg="dir" op="equ" val="norm">
              <dgm:alg type="tx">
                <dgm:param type="parTxLTRAlign" val="l"/>
                <dgm:param type="parTxRTLAlign" val="l"/>
                <dgm:param type="txAnchorVert" val="t"/>
              </dgm:alg>
            </dgm:if>
            <dgm:else name="Name50">
              <dgm:alg type="tx">
                <dgm:param type="parTxLTRAlign" val="r"/>
                <dgm:param type="parTxRTLAlign" val="r"/>
                <dgm:param type="txAnchorVert" val="t"/>
              </dgm:alg>
            </dgm:else>
          </dgm:choose>
          <dgm:choose name="Name51">
            <dgm:if name="Name52" axis="ch" ptType="node" func="cnt" op="gte" val="1">
              <dgm:shape xmlns:r="http://schemas.openxmlformats.org/officeDocument/2006/relationships" type="rect" r:blip="">
                <dgm:adjLst/>
              </dgm:shape>
            </dgm:if>
            <dgm:else name="Name53">
              <dgm:shape xmlns:r="http://schemas.openxmlformats.org/officeDocument/2006/relationships" type="rect" r:blip="" hideGeom="1">
                <dgm:adjLst/>
              </dgm:shape>
            </dgm:else>
          </dgm:choose>
          <dgm:choose name="Name54">
            <dgm:if name="Name55" axis="ch" ptType="node" func="cnt" op="gte" val="1">
              <dgm:presOf axis="des" ptType="node"/>
            </dgm:if>
            <dgm:else name="Name56">
              <dgm:presOf/>
            </dgm:else>
          </dgm:choos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name="Parent" styleLbl="revTx">
          <dgm:varLst>
            <dgm:chMax val="1"/>
            <dgm:chPref val="1"/>
            <dgm:bulletEnabled val="1"/>
          </dgm:varLst>
          <dgm:choose name="Name57">
            <dgm:if name="Name58" func="var" arg="dir" op="equ" val="norm">
              <dgm:alg type="tx">
                <dgm:param type="parTxLTRAlign" val="l"/>
                <dgm:param type="parTxRTLAlign" val="l"/>
                <dgm:param type="shpTxLTRAlignCh" val="l"/>
                <dgm:param type="shpTxRTLAlignCh" val="l"/>
                <dgm:param type="txAnchorVert" val="b"/>
                <dgm:param type="txAnchorVertCh" val="b"/>
              </dgm:alg>
            </dgm:if>
            <dgm:else name="Name59">
              <dgm:alg type="tx">
                <dgm:param type="parTxLTRAlign" val="r"/>
                <dgm:param type="parTxRTLAlign" val="r"/>
                <dgm:param type="shpTxLTRAlignCh" val="r"/>
                <dgm:param type="shpTxRTLAlignCh" val="r"/>
                <dgm:param type="txAnchorVert" val="b"/>
                <dgm:param type="txAnchorVertCh" val="b"/>
              </dgm:alg>
            </dgm:else>
          </dgm:choose>
          <dgm:shape xmlns:r="http://schemas.openxmlformats.org/officeDocument/2006/relationships" type="rect" r:blip="">
            <dgm:adjLst/>
          </dgm:shape>
          <dgm:presOf axis="self" ptType="nod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5.xml><?xml version="1.0" encoding="utf-8"?>
<dgm:layoutDef xmlns:dgm="http://schemas.openxmlformats.org/drawingml/2006/diagram" xmlns:a="http://schemas.openxmlformats.org/drawingml/2006/main" uniqueId="urn:microsoft.com/office/officeart/2008/layout/IncreasingCircleProcess">
  <dgm:title val=""/>
  <dgm:desc val=""/>
  <dgm:catLst>
    <dgm:cat type="list" pri="8300"/>
    <dgm:cat type="process" pri="43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40" srcId="0" destId="10" srcOrd="0" destOrd="0"/>
        <dgm:cxn modelId="12" srcId="10" destId="11" srcOrd="0" destOrd="0"/>
        <dgm:cxn modelId="50" srcId="0" destId="20" srcOrd="1" destOrd="0"/>
        <dgm:cxn modelId="22" srcId="20" destId="21" srcOrd="0" destOrd="0"/>
        <dgm:cxn modelId="6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styleData>
  <dgm:clr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clrData>
  <dgm:layoutNode name="Name0">
    <dgm:varLst>
      <dgm:chMax val="7"/>
      <dgm:chPref val="7"/>
      <dgm:dir/>
      <dgm:animOne val="branch"/>
      <dgm:animLvl val="lvl"/>
    </dgm:varLst>
    <dgm:choose name="Name1">
      <dgm:if name="Name2" func="var" arg="dir" op="equ" val="norm">
        <dgm:alg type="lin">
          <dgm:param type="linDir" val="fromL"/>
          <dgm:param type="horzAlign" val="ctr"/>
          <dgm:param type="vertAlign" val="t"/>
        </dgm:alg>
      </dgm:if>
      <dgm:else name="Name3">
        <dgm:alg type="lin">
          <dgm:param type="linDir" val="fromR"/>
          <dgm:param type="horzAlign" val="ctr"/>
          <dgm:param type="vertAlign" val="t"/>
        </dgm:alg>
      </dgm:else>
    </dgm:choose>
    <dgm:shape xmlns:r="http://schemas.openxmlformats.org/officeDocument/2006/relationships" r:blip="">
      <dgm:adjLst/>
    </dgm:shape>
    <dgm:constrLst>
      <dgm:constr type="primFontSz" for="des" forName="Child" val="65"/>
      <dgm:constr type="primFontSz" for="des" forName="Parent" val="65"/>
      <dgm:constr type="primFontSz" for="des" forName="Child" refType="primFontSz" refFor="des" refForName="Parent" op="lte"/>
      <dgm:constr type="w" for="ch" forName="composite" refType="w"/>
      <dgm:constr type="h" for="ch" forName="composite" refType="h"/>
      <dgm:constr type="sp" refType="w" refFor="ch" refForName="composite" op="equ" fact="0.05"/>
      <dgm:constr type="w" for="ch" forName="sibTrans" refType="h" refFor="ch" refForName="composite" op="equ" fact="0.04"/>
    </dgm:constrLst>
    <dgm:forEach name="nodesForEach" axis="ch" ptType="node" cnt="7">
      <dgm:layoutNode name="composite">
        <dgm:alg type="composite">
          <dgm:param type="ar" val="0.8"/>
        </dgm:alg>
        <dgm:choose name="Name4">
          <dgm:if name="Name5" func="var" arg="dir" op="equ" val="norm">
            <dgm:constrLst>
              <dgm:constr type="l" for="ch" forName="Child" refType="w" fact="0.29"/>
              <dgm:constr type="t" for="ch" forName="Child" refType="h" fact="0.192"/>
              <dgm:constr type="w" for="ch" forName="Child" refType="w" fact="0.71"/>
              <dgm:constr type="h" for="ch" forName="Child" refType="h" fact="0.808"/>
              <dgm:constr type="l" for="ch" forName="Parent" refType="w" fact="0.29"/>
              <dgm:constr type="t" for="ch" forName="Parent" refType="h" fact="0"/>
              <dgm:constr type="w" for="ch" forName="Parent" refType="w" fact="0.71"/>
              <dgm:constr type="h" for="ch" forName="Parent" refType="h" fact="0.192"/>
              <dgm:constr type="l" for="ch" forName="BackAccent" refType="w" fact="0"/>
              <dgm:constr type="t" for="ch" forName="BackAccent" refType="h" fact="0"/>
              <dgm:constr type="w" for="ch" forName="BackAccent" refType="w" fact="0.24"/>
              <dgm:constr type="h" for="ch" forName="BackAccent" refType="h" fact="0.192"/>
              <dgm:constr type="l" for="ch" forName="Accent" refType="w" fact="0.024"/>
              <dgm:constr type="t" for="ch" forName="Accent" refType="h" fact="0.0192"/>
              <dgm:constr type="w" for="ch" forName="Accent" refType="w" fact="0.192"/>
              <dgm:constr type="h" for="ch" forName="Accent" refType="h" fact="0.1536"/>
            </dgm:constrLst>
          </dgm:if>
          <dgm:else name="Name6">
            <dgm:constrLst>
              <dgm:constr type="r" for="ch" forName="Child" refType="w" fact="0.71"/>
              <dgm:constr type="t" for="ch" forName="Child" refType="h" fact="0.192"/>
              <dgm:constr type="w" for="ch" forName="Child" refType="w" fact="0.71"/>
              <dgm:constr type="h" for="ch" forName="Child" refType="h" fact="0.808"/>
              <dgm:constr type="r" for="ch" forName="Parent" refType="w" fact="0.71"/>
              <dgm:constr type="t" for="ch" forName="Parent" refType="h" fact="0"/>
              <dgm:constr type="w" for="ch" forName="Parent" refType="w" fact="0.71"/>
              <dgm:constr type="h" for="ch" forName="Parent" refType="h" fact="0.192"/>
              <dgm:constr type="r" for="ch" forName="BackAccent" refType="w"/>
              <dgm:constr type="t" for="ch" forName="BackAccent" refType="h" fact="0"/>
              <dgm:constr type="w" for="ch" forName="BackAccent" refType="w" fact="0.24"/>
              <dgm:constr type="h" for="ch" forName="BackAccent" refType="h" fact="0.192"/>
              <dgm:constr type="r" for="ch" forName="Accent" refType="w" fact="0.976"/>
              <dgm:constr type="t" for="ch" forName="Accent" refType="h" fact="0.0192"/>
              <dgm:constr type="w" for="ch" forName="Accent" refType="w" fact="0.192"/>
              <dgm:constr type="h" for="ch" forName="Accent" refType="h" fact="0.1536"/>
            </dgm:constrLst>
          </dgm:else>
        </dgm:choose>
        <dgm:layoutNode name="BackAccent" styleLbl="bgShp">
          <dgm:alg type="sp"/>
          <dgm:shape xmlns:r="http://schemas.openxmlformats.org/officeDocument/2006/relationships" type="ellipse" r:blip="">
            <dgm:adjLst/>
          </dgm:shape>
          <dgm:presOf/>
        </dgm:layoutNode>
        <dgm:layoutNode name="Accent" styleLbl="alignNode1">
          <dgm:alg type="sp"/>
          <dgm:choose name="Name7">
            <dgm:if name="Name8" axis="precedSib" ptType="node" func="cnt" op="equ" val="0">
              <dgm:choose name="Name9">
                <dgm:if name="Name10" axis="followSib" ptType="node" func="cnt" op="equ" val="0">
                  <dgm:shape xmlns:r="http://schemas.openxmlformats.org/officeDocument/2006/relationships" type="chord" r:blip="">
                    <dgm:adjLst>
                      <dgm:adj idx="1" val="-90"/>
                      <dgm:adj idx="2" val="-90"/>
                    </dgm:adjLst>
                  </dgm:shape>
                </dgm:if>
                <dgm:if name="Name11" axis="followSib" ptType="node" func="cnt" op="equ" val="1">
                  <dgm:shape xmlns:r="http://schemas.openxmlformats.org/officeDocument/2006/relationships" type="chord" r:blip="">
                    <dgm:adjLst>
                      <dgm:adj idx="1" val="0"/>
                      <dgm:adj idx="2" val="180"/>
                    </dgm:adjLst>
                  </dgm:shape>
                </dgm:if>
                <dgm:if name="Name12" axis="followSib" ptType="node" func="cnt" op="equ" val="2">
                  <dgm:shape xmlns:r="http://schemas.openxmlformats.org/officeDocument/2006/relationships" type="chord" r:blip="">
                    <dgm:adjLst>
                      <dgm:adj idx="1" val="19.4712"/>
                      <dgm:adj idx="2" val="160.5288"/>
                    </dgm:adjLst>
                  </dgm:shape>
                </dgm:if>
                <dgm:if name="Name13" axis="followSib" ptType="node" func="cnt" op="equ" val="3">
                  <dgm:shape xmlns:r="http://schemas.openxmlformats.org/officeDocument/2006/relationships" type="chord" r:blip="">
                    <dgm:adjLst>
                      <dgm:adj idx="1" val="30"/>
                      <dgm:adj idx="2" val="150"/>
                    </dgm:adjLst>
                  </dgm:shape>
                </dgm:if>
                <dgm:if name="Name14" axis="followSib" ptType="node" func="cnt" op="equ" val="4">
                  <dgm:shape xmlns:r="http://schemas.openxmlformats.org/officeDocument/2006/relationships" type="chord" r:blip="">
                    <dgm:adjLst>
                      <dgm:adj idx="1" val="38.8699"/>
                      <dgm:adj idx="2" val="143.1301"/>
                    </dgm:adjLst>
                  </dgm:shape>
                </dgm:if>
                <dgm:if name="Name15" axis="followSib" ptType="node" func="cnt" op="equ" val="5">
                  <dgm:shape xmlns:r="http://schemas.openxmlformats.org/officeDocument/2006/relationships" type="chord" r:blip="">
                    <dgm:adjLst>
                      <dgm:adj idx="1" val="41.8103"/>
                      <dgm:adj idx="2" val="138.1897"/>
                    </dgm:adjLst>
                  </dgm:shape>
                </dgm:if>
                <dgm:else name="Name16">
                  <dgm:shape xmlns:r="http://schemas.openxmlformats.org/officeDocument/2006/relationships" type="chord" r:blip="">
                    <dgm:adjLst>
                      <dgm:adj idx="1" val="45.5847"/>
                      <dgm:adj idx="2" val="134.4153"/>
                    </dgm:adjLst>
                  </dgm:shape>
                </dgm:else>
              </dgm:choose>
            </dgm:if>
            <dgm:if name="Name17" axis="precedSib" ptType="node" func="cnt" op="equ" val="1">
              <dgm:choose name="Name18">
                <dgm:if name="Name19" axis="followSib" ptType="node" func="cnt" op="equ" val="0">
                  <dgm:shape xmlns:r="http://schemas.openxmlformats.org/officeDocument/2006/relationships" type="chord" r:blip="">
                    <dgm:adjLst>
                      <dgm:adj idx="1" val="-90"/>
                      <dgm:adj idx="2" val="-90"/>
                    </dgm:adjLst>
                  </dgm:shape>
                </dgm:if>
                <dgm:if name="Name20" axis="followSib" ptType="node" func="cnt" op="equ" val="1">
                  <dgm:shape xmlns:r="http://schemas.openxmlformats.org/officeDocument/2006/relationships" type="chord" r:blip="">
                    <dgm:adjLst>
                      <dgm:adj idx="1" val="-19.4712"/>
                      <dgm:adj idx="2" val="-160.5288"/>
                    </dgm:adjLst>
                  </dgm:shape>
                </dgm:if>
                <dgm:if name="Name21" axis="followSib" ptType="node" func="cnt" op="equ" val="2">
                  <dgm:shape xmlns:r="http://schemas.openxmlformats.org/officeDocument/2006/relationships" type="chord" r:blip="">
                    <dgm:adjLst>
                      <dgm:adj idx="1" val="0"/>
                      <dgm:adj idx="2" val="180"/>
                    </dgm:adjLst>
                  </dgm:shape>
                </dgm:if>
                <dgm:if name="Name22" axis="followSib" ptType="node" func="cnt" op="equ" val="3">
                  <dgm:shape xmlns:r="http://schemas.openxmlformats.org/officeDocument/2006/relationships" type="chord" r:blip="">
                    <dgm:adjLst>
                      <dgm:adj idx="1" val="11.537"/>
                      <dgm:adj idx="2" val="168.463"/>
                    </dgm:adjLst>
                  </dgm:shape>
                </dgm:if>
                <dgm:if name="Name23" axis="followSib" ptType="node" func="cnt" op="equ" val="4">
                  <dgm:shape xmlns:r="http://schemas.openxmlformats.org/officeDocument/2006/relationships" type="chord" r:blip="">
                    <dgm:adjLst>
                      <dgm:adj idx="1" val="19.4712"/>
                      <dgm:adj idx="2" val="160.5288"/>
                    </dgm:adjLst>
                  </dgm:shape>
                </dgm:if>
                <dgm:else name="Name24">
                  <dgm:shape xmlns:r="http://schemas.openxmlformats.org/officeDocument/2006/relationships" type="chord" r:blip="">
                    <dgm:adjLst>
                      <dgm:adj idx="1" val="25.3769"/>
                      <dgm:adj idx="2" val="154.6231"/>
                    </dgm:adjLst>
                  </dgm:shape>
                </dgm:else>
              </dgm:choose>
            </dgm:if>
            <dgm:if name="Name25" axis="precedSib" ptType="node" func="cnt" op="equ" val="2">
              <dgm:choose name="Name26">
                <dgm:if name="Name27" axis="followSib" ptType="node" func="cnt" op="equ" val="0">
                  <dgm:shape xmlns:r="http://schemas.openxmlformats.org/officeDocument/2006/relationships" type="chord" r:blip="">
                    <dgm:adjLst>
                      <dgm:adj idx="1" val="-90"/>
                      <dgm:adj idx="2" val="-90"/>
                    </dgm:adjLst>
                  </dgm:shape>
                </dgm:if>
                <dgm:if name="Name28" axis="followSib" ptType="node" func="cnt" op="equ" val="1">
                  <dgm:shape xmlns:r="http://schemas.openxmlformats.org/officeDocument/2006/relationships" type="chord" r:blip="">
                    <dgm:adjLst>
                      <dgm:adj idx="1" val="-30"/>
                      <dgm:adj idx="2" val="-150"/>
                    </dgm:adjLst>
                  </dgm:shape>
                </dgm:if>
                <dgm:if name="Name29" axis="followSib" ptType="node" func="cnt" op="equ" val="2">
                  <dgm:shape xmlns:r="http://schemas.openxmlformats.org/officeDocument/2006/relationships" type="chord" r:blip="">
                    <dgm:adjLst>
                      <dgm:adj idx="1" val="-11.537"/>
                      <dgm:adj idx="2" val="-168.463"/>
                    </dgm:adjLst>
                  </dgm:shape>
                </dgm:if>
                <dgm:if name="Name30" axis="followSib" ptType="node" func="cnt" op="equ" val="3">
                  <dgm:shape xmlns:r="http://schemas.openxmlformats.org/officeDocument/2006/relationships" type="chord" r:blip="">
                    <dgm:adjLst>
                      <dgm:adj idx="1" val="0"/>
                      <dgm:adj idx="2" val="180"/>
                    </dgm:adjLst>
                  </dgm:shape>
                </dgm:if>
                <dgm:else name="Name31">
                  <dgm:shape xmlns:r="http://schemas.openxmlformats.org/officeDocument/2006/relationships" type="chord" r:blip="">
                    <dgm:adjLst>
                      <dgm:adj idx="1" val="8.2133"/>
                      <dgm:adj idx="2" val="171.7867"/>
                    </dgm:adjLst>
                  </dgm:shape>
                </dgm:else>
              </dgm:choose>
            </dgm:if>
            <dgm:if name="Name32" axis="precedSib" ptType="node" func="cnt" op="equ" val="3">
              <dgm:choose name="Name33">
                <dgm:if name="Name34" axis="followSib" ptType="node" func="cnt" op="equ" val="0">
                  <dgm:shape xmlns:r="http://schemas.openxmlformats.org/officeDocument/2006/relationships" type="chord" r:blip="">
                    <dgm:adjLst>
                      <dgm:adj idx="1" val="-90"/>
                      <dgm:adj idx="2" val="-90"/>
                    </dgm:adjLst>
                  </dgm:shape>
                </dgm:if>
                <dgm:if name="Name35" axis="followSib" ptType="node" func="cnt" op="equ" val="1">
                  <dgm:shape xmlns:r="http://schemas.openxmlformats.org/officeDocument/2006/relationships" type="chord" r:blip="">
                    <dgm:adjLst>
                      <dgm:adj idx="1" val="-38.8699"/>
                      <dgm:adj idx="2" val="-143.1301"/>
                    </dgm:adjLst>
                  </dgm:shape>
                </dgm:if>
                <dgm:if name="Name36" axis="followSib" ptType="node" func="cnt" op="equ" val="2">
                  <dgm:shape xmlns:r="http://schemas.openxmlformats.org/officeDocument/2006/relationships" type="chord" r:blip="">
                    <dgm:adjLst>
                      <dgm:adj idx="1" val="-19.4712"/>
                      <dgm:adj idx="2" val="-160.5288"/>
                    </dgm:adjLst>
                  </dgm:shape>
                </dgm:if>
                <dgm:else name="Name37">
                  <dgm:shape xmlns:r="http://schemas.openxmlformats.org/officeDocument/2006/relationships" type="chord" r:blip="">
                    <dgm:adjLst>
                      <dgm:adj idx="1" val="-8.2133"/>
                      <dgm:adj idx="2" val="-171.7867"/>
                    </dgm:adjLst>
                  </dgm:shape>
                </dgm:else>
              </dgm:choose>
            </dgm:if>
            <dgm:if name="Name38" axis="precedSib" ptType="node" func="cnt" op="equ" val="4">
              <dgm:choose name="Name39">
                <dgm:if name="Name40" axis="followSib" ptType="node" func="cnt" op="equ" val="0">
                  <dgm:shape xmlns:r="http://schemas.openxmlformats.org/officeDocument/2006/relationships" type="chord" r:blip="">
                    <dgm:adjLst>
                      <dgm:adj idx="1" val="-90"/>
                      <dgm:adj idx="2" val="-90"/>
                    </dgm:adjLst>
                  </dgm:shape>
                </dgm:if>
                <dgm:if name="Name41" axis="followSib" ptType="node" func="cnt" op="equ" val="1">
                  <dgm:shape xmlns:r="http://schemas.openxmlformats.org/officeDocument/2006/relationships" type="chord" r:blip="">
                    <dgm:adjLst>
                      <dgm:adj idx="1" val="-41.8103"/>
                      <dgm:adj idx="2" val="-138.1897"/>
                    </dgm:adjLst>
                  </dgm:shape>
                </dgm:if>
                <dgm:else name="Name42">
                  <dgm:shape xmlns:r="http://schemas.openxmlformats.org/officeDocument/2006/relationships" type="chord" r:blip="">
                    <dgm:adjLst>
                      <dgm:adj idx="1" val="-25.3769"/>
                      <dgm:adj idx="2" val="-154.6231"/>
                    </dgm:adjLst>
                  </dgm:shape>
                </dgm:else>
              </dgm:choose>
            </dgm:if>
            <dgm:if name="Name43" axis="precedSib" ptType="node" func="cnt" op="equ" val="5">
              <dgm:choose name="Name44">
                <dgm:if name="Name45" axis="followSib" ptType="node" func="cnt" op="equ" val="0">
                  <dgm:shape xmlns:r="http://schemas.openxmlformats.org/officeDocument/2006/relationships" type="chord" r:blip="">
                    <dgm:adjLst>
                      <dgm:adj idx="1" val="-90"/>
                      <dgm:adj idx="2" val="-90"/>
                    </dgm:adjLst>
                  </dgm:shape>
                </dgm:if>
                <dgm:else name="Name46">
                  <dgm:shape xmlns:r="http://schemas.openxmlformats.org/officeDocument/2006/relationships" type="chord" r:blip="">
                    <dgm:adjLst>
                      <dgm:adj idx="1" val="-45.5847"/>
                      <dgm:adj idx="2" val="-134.4153"/>
                    </dgm:adjLst>
                  </dgm:shape>
                </dgm:else>
              </dgm:choose>
            </dgm:if>
            <dgm:else name="Name47">
              <dgm:shape xmlns:r="http://schemas.openxmlformats.org/officeDocument/2006/relationships" type="chord" r:blip="">
                <dgm:adjLst>
                  <dgm:adj idx="1" val="-90"/>
                  <dgm:adj idx="2" val="-90"/>
                </dgm:adjLst>
              </dgm:shape>
            </dgm:else>
          </dgm:choose>
          <dgm:presOf/>
        </dgm:layoutNode>
        <dgm:layoutNode name="Child" styleLbl="revTx">
          <dgm:varLst>
            <dgm:chMax val="0"/>
            <dgm:chPref val="0"/>
            <dgm:bulletEnabled val="1"/>
          </dgm:varLst>
          <dgm:choose name="Name48">
            <dgm:if name="Name49" func="var" arg="dir" op="equ" val="norm">
              <dgm:alg type="tx">
                <dgm:param type="parTxLTRAlign" val="l"/>
                <dgm:param type="parTxRTLAlign" val="l"/>
                <dgm:param type="txAnchorVert" val="t"/>
              </dgm:alg>
            </dgm:if>
            <dgm:else name="Name50">
              <dgm:alg type="tx">
                <dgm:param type="parTxLTRAlign" val="r"/>
                <dgm:param type="parTxRTLAlign" val="r"/>
                <dgm:param type="txAnchorVert" val="t"/>
              </dgm:alg>
            </dgm:else>
          </dgm:choose>
          <dgm:choose name="Name51">
            <dgm:if name="Name52" axis="ch" ptType="node" func="cnt" op="gte" val="1">
              <dgm:shape xmlns:r="http://schemas.openxmlformats.org/officeDocument/2006/relationships" type="rect" r:blip="">
                <dgm:adjLst/>
              </dgm:shape>
            </dgm:if>
            <dgm:else name="Name53">
              <dgm:shape xmlns:r="http://schemas.openxmlformats.org/officeDocument/2006/relationships" type="rect" r:blip="" hideGeom="1">
                <dgm:adjLst/>
              </dgm:shape>
            </dgm:else>
          </dgm:choose>
          <dgm:choose name="Name54">
            <dgm:if name="Name55" axis="ch" ptType="node" func="cnt" op="gte" val="1">
              <dgm:presOf axis="des" ptType="node"/>
            </dgm:if>
            <dgm:else name="Name56">
              <dgm:presOf/>
            </dgm:else>
          </dgm:choos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name="Parent" styleLbl="revTx">
          <dgm:varLst>
            <dgm:chMax val="1"/>
            <dgm:chPref val="1"/>
            <dgm:bulletEnabled val="1"/>
          </dgm:varLst>
          <dgm:choose name="Name57">
            <dgm:if name="Name58" func="var" arg="dir" op="equ" val="norm">
              <dgm:alg type="tx">
                <dgm:param type="parTxLTRAlign" val="l"/>
                <dgm:param type="parTxRTLAlign" val="l"/>
                <dgm:param type="shpTxLTRAlignCh" val="l"/>
                <dgm:param type="shpTxRTLAlignCh" val="l"/>
                <dgm:param type="txAnchorVert" val="b"/>
                <dgm:param type="txAnchorVertCh" val="b"/>
              </dgm:alg>
            </dgm:if>
            <dgm:else name="Name59">
              <dgm:alg type="tx">
                <dgm:param type="parTxLTRAlign" val="r"/>
                <dgm:param type="parTxRTLAlign" val="r"/>
                <dgm:param type="shpTxLTRAlignCh" val="r"/>
                <dgm:param type="shpTxRTLAlignCh" val="r"/>
                <dgm:param type="txAnchorVert" val="b"/>
                <dgm:param type="txAnchorVertCh" val="b"/>
              </dgm:alg>
            </dgm:else>
          </dgm:choose>
          <dgm:shape xmlns:r="http://schemas.openxmlformats.org/officeDocument/2006/relationships" type="rect" r:blip="">
            <dgm:adjLst/>
          </dgm:shape>
          <dgm:presOf axis="self" ptType="nod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6.xml><?xml version="1.0" encoding="utf-8"?>
<dgm:layoutDef xmlns:dgm="http://schemas.openxmlformats.org/drawingml/2006/diagram" xmlns:a="http://schemas.openxmlformats.org/drawingml/2006/main" uniqueId="urn:microsoft.com/office/officeart/2008/layout/IncreasingCircleProcess">
  <dgm:title val=""/>
  <dgm:desc val=""/>
  <dgm:catLst>
    <dgm:cat type="list" pri="8300"/>
    <dgm:cat type="process" pri="43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40" srcId="0" destId="10" srcOrd="0" destOrd="0"/>
        <dgm:cxn modelId="12" srcId="10" destId="11" srcOrd="0" destOrd="0"/>
        <dgm:cxn modelId="50" srcId="0" destId="20" srcOrd="1" destOrd="0"/>
        <dgm:cxn modelId="22" srcId="20" destId="21" srcOrd="0" destOrd="0"/>
        <dgm:cxn modelId="6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styleData>
  <dgm:clr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clrData>
  <dgm:layoutNode name="Name0">
    <dgm:varLst>
      <dgm:chMax val="7"/>
      <dgm:chPref val="7"/>
      <dgm:dir/>
      <dgm:animOne val="branch"/>
      <dgm:animLvl val="lvl"/>
    </dgm:varLst>
    <dgm:choose name="Name1">
      <dgm:if name="Name2" func="var" arg="dir" op="equ" val="norm">
        <dgm:alg type="lin">
          <dgm:param type="linDir" val="fromL"/>
          <dgm:param type="horzAlign" val="ctr"/>
          <dgm:param type="vertAlign" val="t"/>
        </dgm:alg>
      </dgm:if>
      <dgm:else name="Name3">
        <dgm:alg type="lin">
          <dgm:param type="linDir" val="fromR"/>
          <dgm:param type="horzAlign" val="ctr"/>
          <dgm:param type="vertAlign" val="t"/>
        </dgm:alg>
      </dgm:else>
    </dgm:choose>
    <dgm:shape xmlns:r="http://schemas.openxmlformats.org/officeDocument/2006/relationships" r:blip="">
      <dgm:adjLst/>
    </dgm:shape>
    <dgm:constrLst>
      <dgm:constr type="primFontSz" for="des" forName="Child" val="65"/>
      <dgm:constr type="primFontSz" for="des" forName="Parent" val="65"/>
      <dgm:constr type="primFontSz" for="des" forName="Child" refType="primFontSz" refFor="des" refForName="Parent" op="lte"/>
      <dgm:constr type="w" for="ch" forName="composite" refType="w"/>
      <dgm:constr type="h" for="ch" forName="composite" refType="h"/>
      <dgm:constr type="sp" refType="w" refFor="ch" refForName="composite" op="equ" fact="0.05"/>
      <dgm:constr type="w" for="ch" forName="sibTrans" refType="h" refFor="ch" refForName="composite" op="equ" fact="0.04"/>
    </dgm:constrLst>
    <dgm:forEach name="nodesForEach" axis="ch" ptType="node" cnt="7">
      <dgm:layoutNode name="composite">
        <dgm:alg type="composite">
          <dgm:param type="ar" val="0.8"/>
        </dgm:alg>
        <dgm:choose name="Name4">
          <dgm:if name="Name5" func="var" arg="dir" op="equ" val="norm">
            <dgm:constrLst>
              <dgm:constr type="l" for="ch" forName="Child" refType="w" fact="0.29"/>
              <dgm:constr type="t" for="ch" forName="Child" refType="h" fact="0.192"/>
              <dgm:constr type="w" for="ch" forName="Child" refType="w" fact="0.71"/>
              <dgm:constr type="h" for="ch" forName="Child" refType="h" fact="0.808"/>
              <dgm:constr type="l" for="ch" forName="Parent" refType="w" fact="0.29"/>
              <dgm:constr type="t" for="ch" forName="Parent" refType="h" fact="0"/>
              <dgm:constr type="w" for="ch" forName="Parent" refType="w" fact="0.71"/>
              <dgm:constr type="h" for="ch" forName="Parent" refType="h" fact="0.192"/>
              <dgm:constr type="l" for="ch" forName="BackAccent" refType="w" fact="0"/>
              <dgm:constr type="t" for="ch" forName="BackAccent" refType="h" fact="0"/>
              <dgm:constr type="w" for="ch" forName="BackAccent" refType="w" fact="0.24"/>
              <dgm:constr type="h" for="ch" forName="BackAccent" refType="h" fact="0.192"/>
              <dgm:constr type="l" for="ch" forName="Accent" refType="w" fact="0.024"/>
              <dgm:constr type="t" for="ch" forName="Accent" refType="h" fact="0.0192"/>
              <dgm:constr type="w" for="ch" forName="Accent" refType="w" fact="0.192"/>
              <dgm:constr type="h" for="ch" forName="Accent" refType="h" fact="0.1536"/>
            </dgm:constrLst>
          </dgm:if>
          <dgm:else name="Name6">
            <dgm:constrLst>
              <dgm:constr type="r" for="ch" forName="Child" refType="w" fact="0.71"/>
              <dgm:constr type="t" for="ch" forName="Child" refType="h" fact="0.192"/>
              <dgm:constr type="w" for="ch" forName="Child" refType="w" fact="0.71"/>
              <dgm:constr type="h" for="ch" forName="Child" refType="h" fact="0.808"/>
              <dgm:constr type="r" for="ch" forName="Parent" refType="w" fact="0.71"/>
              <dgm:constr type="t" for="ch" forName="Parent" refType="h" fact="0"/>
              <dgm:constr type="w" for="ch" forName="Parent" refType="w" fact="0.71"/>
              <dgm:constr type="h" for="ch" forName="Parent" refType="h" fact="0.192"/>
              <dgm:constr type="r" for="ch" forName="BackAccent" refType="w"/>
              <dgm:constr type="t" for="ch" forName="BackAccent" refType="h" fact="0"/>
              <dgm:constr type="w" for="ch" forName="BackAccent" refType="w" fact="0.24"/>
              <dgm:constr type="h" for="ch" forName="BackAccent" refType="h" fact="0.192"/>
              <dgm:constr type="r" for="ch" forName="Accent" refType="w" fact="0.976"/>
              <dgm:constr type="t" for="ch" forName="Accent" refType="h" fact="0.0192"/>
              <dgm:constr type="w" for="ch" forName="Accent" refType="w" fact="0.192"/>
              <dgm:constr type="h" for="ch" forName="Accent" refType="h" fact="0.1536"/>
            </dgm:constrLst>
          </dgm:else>
        </dgm:choose>
        <dgm:layoutNode name="BackAccent" styleLbl="bgShp">
          <dgm:alg type="sp"/>
          <dgm:shape xmlns:r="http://schemas.openxmlformats.org/officeDocument/2006/relationships" type="ellipse" r:blip="">
            <dgm:adjLst/>
          </dgm:shape>
          <dgm:presOf/>
        </dgm:layoutNode>
        <dgm:layoutNode name="Accent" styleLbl="alignNode1">
          <dgm:alg type="sp"/>
          <dgm:choose name="Name7">
            <dgm:if name="Name8" axis="precedSib" ptType="node" func="cnt" op="equ" val="0">
              <dgm:choose name="Name9">
                <dgm:if name="Name10" axis="followSib" ptType="node" func="cnt" op="equ" val="0">
                  <dgm:shape xmlns:r="http://schemas.openxmlformats.org/officeDocument/2006/relationships" type="chord" r:blip="">
                    <dgm:adjLst>
                      <dgm:adj idx="1" val="-90"/>
                      <dgm:adj idx="2" val="-90"/>
                    </dgm:adjLst>
                  </dgm:shape>
                </dgm:if>
                <dgm:if name="Name11" axis="followSib" ptType="node" func="cnt" op="equ" val="1">
                  <dgm:shape xmlns:r="http://schemas.openxmlformats.org/officeDocument/2006/relationships" type="chord" r:blip="">
                    <dgm:adjLst>
                      <dgm:adj idx="1" val="0"/>
                      <dgm:adj idx="2" val="180"/>
                    </dgm:adjLst>
                  </dgm:shape>
                </dgm:if>
                <dgm:if name="Name12" axis="followSib" ptType="node" func="cnt" op="equ" val="2">
                  <dgm:shape xmlns:r="http://schemas.openxmlformats.org/officeDocument/2006/relationships" type="chord" r:blip="">
                    <dgm:adjLst>
                      <dgm:adj idx="1" val="19.4712"/>
                      <dgm:adj idx="2" val="160.5288"/>
                    </dgm:adjLst>
                  </dgm:shape>
                </dgm:if>
                <dgm:if name="Name13" axis="followSib" ptType="node" func="cnt" op="equ" val="3">
                  <dgm:shape xmlns:r="http://schemas.openxmlformats.org/officeDocument/2006/relationships" type="chord" r:blip="">
                    <dgm:adjLst>
                      <dgm:adj idx="1" val="30"/>
                      <dgm:adj idx="2" val="150"/>
                    </dgm:adjLst>
                  </dgm:shape>
                </dgm:if>
                <dgm:if name="Name14" axis="followSib" ptType="node" func="cnt" op="equ" val="4">
                  <dgm:shape xmlns:r="http://schemas.openxmlformats.org/officeDocument/2006/relationships" type="chord" r:blip="">
                    <dgm:adjLst>
                      <dgm:adj idx="1" val="38.8699"/>
                      <dgm:adj idx="2" val="143.1301"/>
                    </dgm:adjLst>
                  </dgm:shape>
                </dgm:if>
                <dgm:if name="Name15" axis="followSib" ptType="node" func="cnt" op="equ" val="5">
                  <dgm:shape xmlns:r="http://schemas.openxmlformats.org/officeDocument/2006/relationships" type="chord" r:blip="">
                    <dgm:adjLst>
                      <dgm:adj idx="1" val="41.8103"/>
                      <dgm:adj idx="2" val="138.1897"/>
                    </dgm:adjLst>
                  </dgm:shape>
                </dgm:if>
                <dgm:else name="Name16">
                  <dgm:shape xmlns:r="http://schemas.openxmlformats.org/officeDocument/2006/relationships" type="chord" r:blip="">
                    <dgm:adjLst>
                      <dgm:adj idx="1" val="45.5847"/>
                      <dgm:adj idx="2" val="134.4153"/>
                    </dgm:adjLst>
                  </dgm:shape>
                </dgm:else>
              </dgm:choose>
            </dgm:if>
            <dgm:if name="Name17" axis="precedSib" ptType="node" func="cnt" op="equ" val="1">
              <dgm:choose name="Name18">
                <dgm:if name="Name19" axis="followSib" ptType="node" func="cnt" op="equ" val="0">
                  <dgm:shape xmlns:r="http://schemas.openxmlformats.org/officeDocument/2006/relationships" type="chord" r:blip="">
                    <dgm:adjLst>
                      <dgm:adj idx="1" val="-90"/>
                      <dgm:adj idx="2" val="-90"/>
                    </dgm:adjLst>
                  </dgm:shape>
                </dgm:if>
                <dgm:if name="Name20" axis="followSib" ptType="node" func="cnt" op="equ" val="1">
                  <dgm:shape xmlns:r="http://schemas.openxmlformats.org/officeDocument/2006/relationships" type="chord" r:blip="">
                    <dgm:adjLst>
                      <dgm:adj idx="1" val="-19.4712"/>
                      <dgm:adj idx="2" val="-160.5288"/>
                    </dgm:adjLst>
                  </dgm:shape>
                </dgm:if>
                <dgm:if name="Name21" axis="followSib" ptType="node" func="cnt" op="equ" val="2">
                  <dgm:shape xmlns:r="http://schemas.openxmlformats.org/officeDocument/2006/relationships" type="chord" r:blip="">
                    <dgm:adjLst>
                      <dgm:adj idx="1" val="0"/>
                      <dgm:adj idx="2" val="180"/>
                    </dgm:adjLst>
                  </dgm:shape>
                </dgm:if>
                <dgm:if name="Name22" axis="followSib" ptType="node" func="cnt" op="equ" val="3">
                  <dgm:shape xmlns:r="http://schemas.openxmlformats.org/officeDocument/2006/relationships" type="chord" r:blip="">
                    <dgm:adjLst>
                      <dgm:adj idx="1" val="11.537"/>
                      <dgm:adj idx="2" val="168.463"/>
                    </dgm:adjLst>
                  </dgm:shape>
                </dgm:if>
                <dgm:if name="Name23" axis="followSib" ptType="node" func="cnt" op="equ" val="4">
                  <dgm:shape xmlns:r="http://schemas.openxmlformats.org/officeDocument/2006/relationships" type="chord" r:blip="">
                    <dgm:adjLst>
                      <dgm:adj idx="1" val="19.4712"/>
                      <dgm:adj idx="2" val="160.5288"/>
                    </dgm:adjLst>
                  </dgm:shape>
                </dgm:if>
                <dgm:else name="Name24">
                  <dgm:shape xmlns:r="http://schemas.openxmlformats.org/officeDocument/2006/relationships" type="chord" r:blip="">
                    <dgm:adjLst>
                      <dgm:adj idx="1" val="25.3769"/>
                      <dgm:adj idx="2" val="154.6231"/>
                    </dgm:adjLst>
                  </dgm:shape>
                </dgm:else>
              </dgm:choose>
            </dgm:if>
            <dgm:if name="Name25" axis="precedSib" ptType="node" func="cnt" op="equ" val="2">
              <dgm:choose name="Name26">
                <dgm:if name="Name27" axis="followSib" ptType="node" func="cnt" op="equ" val="0">
                  <dgm:shape xmlns:r="http://schemas.openxmlformats.org/officeDocument/2006/relationships" type="chord" r:blip="">
                    <dgm:adjLst>
                      <dgm:adj idx="1" val="-90"/>
                      <dgm:adj idx="2" val="-90"/>
                    </dgm:adjLst>
                  </dgm:shape>
                </dgm:if>
                <dgm:if name="Name28" axis="followSib" ptType="node" func="cnt" op="equ" val="1">
                  <dgm:shape xmlns:r="http://schemas.openxmlformats.org/officeDocument/2006/relationships" type="chord" r:blip="">
                    <dgm:adjLst>
                      <dgm:adj idx="1" val="-30"/>
                      <dgm:adj idx="2" val="-150"/>
                    </dgm:adjLst>
                  </dgm:shape>
                </dgm:if>
                <dgm:if name="Name29" axis="followSib" ptType="node" func="cnt" op="equ" val="2">
                  <dgm:shape xmlns:r="http://schemas.openxmlformats.org/officeDocument/2006/relationships" type="chord" r:blip="">
                    <dgm:adjLst>
                      <dgm:adj idx="1" val="-11.537"/>
                      <dgm:adj idx="2" val="-168.463"/>
                    </dgm:adjLst>
                  </dgm:shape>
                </dgm:if>
                <dgm:if name="Name30" axis="followSib" ptType="node" func="cnt" op="equ" val="3">
                  <dgm:shape xmlns:r="http://schemas.openxmlformats.org/officeDocument/2006/relationships" type="chord" r:blip="">
                    <dgm:adjLst>
                      <dgm:adj idx="1" val="0"/>
                      <dgm:adj idx="2" val="180"/>
                    </dgm:adjLst>
                  </dgm:shape>
                </dgm:if>
                <dgm:else name="Name31">
                  <dgm:shape xmlns:r="http://schemas.openxmlformats.org/officeDocument/2006/relationships" type="chord" r:blip="">
                    <dgm:adjLst>
                      <dgm:adj idx="1" val="8.2133"/>
                      <dgm:adj idx="2" val="171.7867"/>
                    </dgm:adjLst>
                  </dgm:shape>
                </dgm:else>
              </dgm:choose>
            </dgm:if>
            <dgm:if name="Name32" axis="precedSib" ptType="node" func="cnt" op="equ" val="3">
              <dgm:choose name="Name33">
                <dgm:if name="Name34" axis="followSib" ptType="node" func="cnt" op="equ" val="0">
                  <dgm:shape xmlns:r="http://schemas.openxmlformats.org/officeDocument/2006/relationships" type="chord" r:blip="">
                    <dgm:adjLst>
                      <dgm:adj idx="1" val="-90"/>
                      <dgm:adj idx="2" val="-90"/>
                    </dgm:adjLst>
                  </dgm:shape>
                </dgm:if>
                <dgm:if name="Name35" axis="followSib" ptType="node" func="cnt" op="equ" val="1">
                  <dgm:shape xmlns:r="http://schemas.openxmlformats.org/officeDocument/2006/relationships" type="chord" r:blip="">
                    <dgm:adjLst>
                      <dgm:adj idx="1" val="-38.8699"/>
                      <dgm:adj idx="2" val="-143.1301"/>
                    </dgm:adjLst>
                  </dgm:shape>
                </dgm:if>
                <dgm:if name="Name36" axis="followSib" ptType="node" func="cnt" op="equ" val="2">
                  <dgm:shape xmlns:r="http://schemas.openxmlformats.org/officeDocument/2006/relationships" type="chord" r:blip="">
                    <dgm:adjLst>
                      <dgm:adj idx="1" val="-19.4712"/>
                      <dgm:adj idx="2" val="-160.5288"/>
                    </dgm:adjLst>
                  </dgm:shape>
                </dgm:if>
                <dgm:else name="Name37">
                  <dgm:shape xmlns:r="http://schemas.openxmlformats.org/officeDocument/2006/relationships" type="chord" r:blip="">
                    <dgm:adjLst>
                      <dgm:adj idx="1" val="-8.2133"/>
                      <dgm:adj idx="2" val="-171.7867"/>
                    </dgm:adjLst>
                  </dgm:shape>
                </dgm:else>
              </dgm:choose>
            </dgm:if>
            <dgm:if name="Name38" axis="precedSib" ptType="node" func="cnt" op="equ" val="4">
              <dgm:choose name="Name39">
                <dgm:if name="Name40" axis="followSib" ptType="node" func="cnt" op="equ" val="0">
                  <dgm:shape xmlns:r="http://schemas.openxmlformats.org/officeDocument/2006/relationships" type="chord" r:blip="">
                    <dgm:adjLst>
                      <dgm:adj idx="1" val="-90"/>
                      <dgm:adj idx="2" val="-90"/>
                    </dgm:adjLst>
                  </dgm:shape>
                </dgm:if>
                <dgm:if name="Name41" axis="followSib" ptType="node" func="cnt" op="equ" val="1">
                  <dgm:shape xmlns:r="http://schemas.openxmlformats.org/officeDocument/2006/relationships" type="chord" r:blip="">
                    <dgm:adjLst>
                      <dgm:adj idx="1" val="-41.8103"/>
                      <dgm:adj idx="2" val="-138.1897"/>
                    </dgm:adjLst>
                  </dgm:shape>
                </dgm:if>
                <dgm:else name="Name42">
                  <dgm:shape xmlns:r="http://schemas.openxmlformats.org/officeDocument/2006/relationships" type="chord" r:blip="">
                    <dgm:adjLst>
                      <dgm:adj idx="1" val="-25.3769"/>
                      <dgm:adj idx="2" val="-154.6231"/>
                    </dgm:adjLst>
                  </dgm:shape>
                </dgm:else>
              </dgm:choose>
            </dgm:if>
            <dgm:if name="Name43" axis="precedSib" ptType="node" func="cnt" op="equ" val="5">
              <dgm:choose name="Name44">
                <dgm:if name="Name45" axis="followSib" ptType="node" func="cnt" op="equ" val="0">
                  <dgm:shape xmlns:r="http://schemas.openxmlformats.org/officeDocument/2006/relationships" type="chord" r:blip="">
                    <dgm:adjLst>
                      <dgm:adj idx="1" val="-90"/>
                      <dgm:adj idx="2" val="-90"/>
                    </dgm:adjLst>
                  </dgm:shape>
                </dgm:if>
                <dgm:else name="Name46">
                  <dgm:shape xmlns:r="http://schemas.openxmlformats.org/officeDocument/2006/relationships" type="chord" r:blip="">
                    <dgm:adjLst>
                      <dgm:adj idx="1" val="-45.5847"/>
                      <dgm:adj idx="2" val="-134.4153"/>
                    </dgm:adjLst>
                  </dgm:shape>
                </dgm:else>
              </dgm:choose>
            </dgm:if>
            <dgm:else name="Name47">
              <dgm:shape xmlns:r="http://schemas.openxmlformats.org/officeDocument/2006/relationships" type="chord" r:blip="">
                <dgm:adjLst>
                  <dgm:adj idx="1" val="-90"/>
                  <dgm:adj idx="2" val="-90"/>
                </dgm:adjLst>
              </dgm:shape>
            </dgm:else>
          </dgm:choose>
          <dgm:presOf/>
        </dgm:layoutNode>
        <dgm:layoutNode name="Child" styleLbl="revTx">
          <dgm:varLst>
            <dgm:chMax val="0"/>
            <dgm:chPref val="0"/>
            <dgm:bulletEnabled val="1"/>
          </dgm:varLst>
          <dgm:choose name="Name48">
            <dgm:if name="Name49" func="var" arg="dir" op="equ" val="norm">
              <dgm:alg type="tx">
                <dgm:param type="parTxLTRAlign" val="l"/>
                <dgm:param type="parTxRTLAlign" val="l"/>
                <dgm:param type="txAnchorVert" val="t"/>
              </dgm:alg>
            </dgm:if>
            <dgm:else name="Name50">
              <dgm:alg type="tx">
                <dgm:param type="parTxLTRAlign" val="r"/>
                <dgm:param type="parTxRTLAlign" val="r"/>
                <dgm:param type="txAnchorVert" val="t"/>
              </dgm:alg>
            </dgm:else>
          </dgm:choose>
          <dgm:choose name="Name51">
            <dgm:if name="Name52" axis="ch" ptType="node" func="cnt" op="gte" val="1">
              <dgm:shape xmlns:r="http://schemas.openxmlformats.org/officeDocument/2006/relationships" type="rect" r:blip="">
                <dgm:adjLst/>
              </dgm:shape>
            </dgm:if>
            <dgm:else name="Name53">
              <dgm:shape xmlns:r="http://schemas.openxmlformats.org/officeDocument/2006/relationships" type="rect" r:blip="" hideGeom="1">
                <dgm:adjLst/>
              </dgm:shape>
            </dgm:else>
          </dgm:choose>
          <dgm:choose name="Name54">
            <dgm:if name="Name55" axis="ch" ptType="node" func="cnt" op="gte" val="1">
              <dgm:presOf axis="des" ptType="node"/>
            </dgm:if>
            <dgm:else name="Name56">
              <dgm:presOf/>
            </dgm:else>
          </dgm:choos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name="Parent" styleLbl="revTx">
          <dgm:varLst>
            <dgm:chMax val="1"/>
            <dgm:chPref val="1"/>
            <dgm:bulletEnabled val="1"/>
          </dgm:varLst>
          <dgm:choose name="Name57">
            <dgm:if name="Name58" func="var" arg="dir" op="equ" val="norm">
              <dgm:alg type="tx">
                <dgm:param type="parTxLTRAlign" val="l"/>
                <dgm:param type="parTxRTLAlign" val="l"/>
                <dgm:param type="shpTxLTRAlignCh" val="l"/>
                <dgm:param type="shpTxRTLAlignCh" val="l"/>
                <dgm:param type="txAnchorVert" val="b"/>
                <dgm:param type="txAnchorVertCh" val="b"/>
              </dgm:alg>
            </dgm:if>
            <dgm:else name="Name59">
              <dgm:alg type="tx">
                <dgm:param type="parTxLTRAlign" val="r"/>
                <dgm:param type="parTxRTLAlign" val="r"/>
                <dgm:param type="shpTxLTRAlignCh" val="r"/>
                <dgm:param type="shpTxRTLAlignCh" val="r"/>
                <dgm:param type="txAnchorVert" val="b"/>
                <dgm:param type="txAnchorVertCh" val="b"/>
              </dgm:alg>
            </dgm:else>
          </dgm:choose>
          <dgm:shape xmlns:r="http://schemas.openxmlformats.org/officeDocument/2006/relationships" type="rect" r:blip="">
            <dgm:adjLst/>
          </dgm:shape>
          <dgm:presOf axis="self" ptType="nod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7.xml><?xml version="1.0" encoding="utf-8"?>
<dgm:layoutDef xmlns:dgm="http://schemas.openxmlformats.org/drawingml/2006/diagram" xmlns:a="http://schemas.openxmlformats.org/drawingml/2006/main" uniqueId="urn:microsoft.com/office/officeart/2008/layout/IncreasingCircleProcess">
  <dgm:title val=""/>
  <dgm:desc val=""/>
  <dgm:catLst>
    <dgm:cat type="list" pri="8300"/>
    <dgm:cat type="process" pri="43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40" srcId="0" destId="10" srcOrd="0" destOrd="0"/>
        <dgm:cxn modelId="12" srcId="10" destId="11" srcOrd="0" destOrd="0"/>
        <dgm:cxn modelId="50" srcId="0" destId="20" srcOrd="1" destOrd="0"/>
        <dgm:cxn modelId="22" srcId="20" destId="21" srcOrd="0" destOrd="0"/>
        <dgm:cxn modelId="6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styleData>
  <dgm:clrData>
    <dgm:dataModel>
      <dgm:ptLst>
        <dgm:pt modelId="0" type="doc"/>
        <dgm:pt modelId="10">
          <dgm:prSet phldr="1"/>
        </dgm:pt>
        <dgm:pt modelId="20">
          <dgm:prSet phldr="1"/>
        </dgm:pt>
      </dgm:ptLst>
      <dgm:cxnLst>
        <dgm:cxn modelId="30" srcId="0" destId="10" srcOrd="0" destOrd="0"/>
        <dgm:cxn modelId="40" srcId="0" destId="20" srcOrd="1" destOrd="0"/>
      </dgm:cxnLst>
      <dgm:bg/>
      <dgm:whole/>
    </dgm:dataModel>
  </dgm:clrData>
  <dgm:layoutNode name="Name0">
    <dgm:varLst>
      <dgm:chMax val="7"/>
      <dgm:chPref val="7"/>
      <dgm:dir/>
      <dgm:animOne val="branch"/>
      <dgm:animLvl val="lvl"/>
    </dgm:varLst>
    <dgm:choose name="Name1">
      <dgm:if name="Name2" func="var" arg="dir" op="equ" val="norm">
        <dgm:alg type="lin">
          <dgm:param type="linDir" val="fromL"/>
          <dgm:param type="horzAlign" val="ctr"/>
          <dgm:param type="vertAlign" val="t"/>
        </dgm:alg>
      </dgm:if>
      <dgm:else name="Name3">
        <dgm:alg type="lin">
          <dgm:param type="linDir" val="fromR"/>
          <dgm:param type="horzAlign" val="ctr"/>
          <dgm:param type="vertAlign" val="t"/>
        </dgm:alg>
      </dgm:else>
    </dgm:choose>
    <dgm:shape xmlns:r="http://schemas.openxmlformats.org/officeDocument/2006/relationships" r:blip="">
      <dgm:adjLst/>
    </dgm:shape>
    <dgm:constrLst>
      <dgm:constr type="primFontSz" for="des" forName="Child" val="65"/>
      <dgm:constr type="primFontSz" for="des" forName="Parent" val="65"/>
      <dgm:constr type="primFontSz" for="des" forName="Child" refType="primFontSz" refFor="des" refForName="Parent" op="lte"/>
      <dgm:constr type="w" for="ch" forName="composite" refType="w"/>
      <dgm:constr type="h" for="ch" forName="composite" refType="h"/>
      <dgm:constr type="sp" refType="w" refFor="ch" refForName="composite" op="equ" fact="0.05"/>
      <dgm:constr type="w" for="ch" forName="sibTrans" refType="h" refFor="ch" refForName="composite" op="equ" fact="0.04"/>
    </dgm:constrLst>
    <dgm:forEach name="nodesForEach" axis="ch" ptType="node" cnt="7">
      <dgm:layoutNode name="composite">
        <dgm:alg type="composite">
          <dgm:param type="ar" val="0.8"/>
        </dgm:alg>
        <dgm:choose name="Name4">
          <dgm:if name="Name5" func="var" arg="dir" op="equ" val="norm">
            <dgm:constrLst>
              <dgm:constr type="l" for="ch" forName="Child" refType="w" fact="0.29"/>
              <dgm:constr type="t" for="ch" forName="Child" refType="h" fact="0.192"/>
              <dgm:constr type="w" for="ch" forName="Child" refType="w" fact="0.71"/>
              <dgm:constr type="h" for="ch" forName="Child" refType="h" fact="0.808"/>
              <dgm:constr type="l" for="ch" forName="Parent" refType="w" fact="0.29"/>
              <dgm:constr type="t" for="ch" forName="Parent" refType="h" fact="0"/>
              <dgm:constr type="w" for="ch" forName="Parent" refType="w" fact="0.71"/>
              <dgm:constr type="h" for="ch" forName="Parent" refType="h" fact="0.192"/>
              <dgm:constr type="l" for="ch" forName="BackAccent" refType="w" fact="0"/>
              <dgm:constr type="t" for="ch" forName="BackAccent" refType="h" fact="0"/>
              <dgm:constr type="w" for="ch" forName="BackAccent" refType="w" fact="0.24"/>
              <dgm:constr type="h" for="ch" forName="BackAccent" refType="h" fact="0.192"/>
              <dgm:constr type="l" for="ch" forName="Accent" refType="w" fact="0.024"/>
              <dgm:constr type="t" for="ch" forName="Accent" refType="h" fact="0.0192"/>
              <dgm:constr type="w" for="ch" forName="Accent" refType="w" fact="0.192"/>
              <dgm:constr type="h" for="ch" forName="Accent" refType="h" fact="0.1536"/>
            </dgm:constrLst>
          </dgm:if>
          <dgm:else name="Name6">
            <dgm:constrLst>
              <dgm:constr type="r" for="ch" forName="Child" refType="w" fact="0.71"/>
              <dgm:constr type="t" for="ch" forName="Child" refType="h" fact="0.192"/>
              <dgm:constr type="w" for="ch" forName="Child" refType="w" fact="0.71"/>
              <dgm:constr type="h" for="ch" forName="Child" refType="h" fact="0.808"/>
              <dgm:constr type="r" for="ch" forName="Parent" refType="w" fact="0.71"/>
              <dgm:constr type="t" for="ch" forName="Parent" refType="h" fact="0"/>
              <dgm:constr type="w" for="ch" forName="Parent" refType="w" fact="0.71"/>
              <dgm:constr type="h" for="ch" forName="Parent" refType="h" fact="0.192"/>
              <dgm:constr type="r" for="ch" forName="BackAccent" refType="w"/>
              <dgm:constr type="t" for="ch" forName="BackAccent" refType="h" fact="0"/>
              <dgm:constr type="w" for="ch" forName="BackAccent" refType="w" fact="0.24"/>
              <dgm:constr type="h" for="ch" forName="BackAccent" refType="h" fact="0.192"/>
              <dgm:constr type="r" for="ch" forName="Accent" refType="w" fact="0.976"/>
              <dgm:constr type="t" for="ch" forName="Accent" refType="h" fact="0.0192"/>
              <dgm:constr type="w" for="ch" forName="Accent" refType="w" fact="0.192"/>
              <dgm:constr type="h" for="ch" forName="Accent" refType="h" fact="0.1536"/>
            </dgm:constrLst>
          </dgm:else>
        </dgm:choose>
        <dgm:layoutNode name="BackAccent" styleLbl="bgShp">
          <dgm:alg type="sp"/>
          <dgm:shape xmlns:r="http://schemas.openxmlformats.org/officeDocument/2006/relationships" type="ellipse" r:blip="">
            <dgm:adjLst/>
          </dgm:shape>
          <dgm:presOf/>
        </dgm:layoutNode>
        <dgm:layoutNode name="Accent" styleLbl="alignNode1">
          <dgm:alg type="sp"/>
          <dgm:choose name="Name7">
            <dgm:if name="Name8" axis="precedSib" ptType="node" func="cnt" op="equ" val="0">
              <dgm:choose name="Name9">
                <dgm:if name="Name10" axis="followSib" ptType="node" func="cnt" op="equ" val="0">
                  <dgm:shape xmlns:r="http://schemas.openxmlformats.org/officeDocument/2006/relationships" type="chord" r:blip="">
                    <dgm:adjLst>
                      <dgm:adj idx="1" val="-90"/>
                      <dgm:adj idx="2" val="-90"/>
                    </dgm:adjLst>
                  </dgm:shape>
                </dgm:if>
                <dgm:if name="Name11" axis="followSib" ptType="node" func="cnt" op="equ" val="1">
                  <dgm:shape xmlns:r="http://schemas.openxmlformats.org/officeDocument/2006/relationships" type="chord" r:blip="">
                    <dgm:adjLst>
                      <dgm:adj idx="1" val="0"/>
                      <dgm:adj idx="2" val="180"/>
                    </dgm:adjLst>
                  </dgm:shape>
                </dgm:if>
                <dgm:if name="Name12" axis="followSib" ptType="node" func="cnt" op="equ" val="2">
                  <dgm:shape xmlns:r="http://schemas.openxmlformats.org/officeDocument/2006/relationships" type="chord" r:blip="">
                    <dgm:adjLst>
                      <dgm:adj idx="1" val="19.4712"/>
                      <dgm:adj idx="2" val="160.5288"/>
                    </dgm:adjLst>
                  </dgm:shape>
                </dgm:if>
                <dgm:if name="Name13" axis="followSib" ptType="node" func="cnt" op="equ" val="3">
                  <dgm:shape xmlns:r="http://schemas.openxmlformats.org/officeDocument/2006/relationships" type="chord" r:blip="">
                    <dgm:adjLst>
                      <dgm:adj idx="1" val="30"/>
                      <dgm:adj idx="2" val="150"/>
                    </dgm:adjLst>
                  </dgm:shape>
                </dgm:if>
                <dgm:if name="Name14" axis="followSib" ptType="node" func="cnt" op="equ" val="4">
                  <dgm:shape xmlns:r="http://schemas.openxmlformats.org/officeDocument/2006/relationships" type="chord" r:blip="">
                    <dgm:adjLst>
                      <dgm:adj idx="1" val="38.8699"/>
                      <dgm:adj idx="2" val="143.1301"/>
                    </dgm:adjLst>
                  </dgm:shape>
                </dgm:if>
                <dgm:if name="Name15" axis="followSib" ptType="node" func="cnt" op="equ" val="5">
                  <dgm:shape xmlns:r="http://schemas.openxmlformats.org/officeDocument/2006/relationships" type="chord" r:blip="">
                    <dgm:adjLst>
                      <dgm:adj idx="1" val="41.8103"/>
                      <dgm:adj idx="2" val="138.1897"/>
                    </dgm:adjLst>
                  </dgm:shape>
                </dgm:if>
                <dgm:else name="Name16">
                  <dgm:shape xmlns:r="http://schemas.openxmlformats.org/officeDocument/2006/relationships" type="chord" r:blip="">
                    <dgm:adjLst>
                      <dgm:adj idx="1" val="45.5847"/>
                      <dgm:adj idx="2" val="134.4153"/>
                    </dgm:adjLst>
                  </dgm:shape>
                </dgm:else>
              </dgm:choose>
            </dgm:if>
            <dgm:if name="Name17" axis="precedSib" ptType="node" func="cnt" op="equ" val="1">
              <dgm:choose name="Name18">
                <dgm:if name="Name19" axis="followSib" ptType="node" func="cnt" op="equ" val="0">
                  <dgm:shape xmlns:r="http://schemas.openxmlformats.org/officeDocument/2006/relationships" type="chord" r:blip="">
                    <dgm:adjLst>
                      <dgm:adj idx="1" val="-90"/>
                      <dgm:adj idx="2" val="-90"/>
                    </dgm:adjLst>
                  </dgm:shape>
                </dgm:if>
                <dgm:if name="Name20" axis="followSib" ptType="node" func="cnt" op="equ" val="1">
                  <dgm:shape xmlns:r="http://schemas.openxmlformats.org/officeDocument/2006/relationships" type="chord" r:blip="">
                    <dgm:adjLst>
                      <dgm:adj idx="1" val="-19.4712"/>
                      <dgm:adj idx="2" val="-160.5288"/>
                    </dgm:adjLst>
                  </dgm:shape>
                </dgm:if>
                <dgm:if name="Name21" axis="followSib" ptType="node" func="cnt" op="equ" val="2">
                  <dgm:shape xmlns:r="http://schemas.openxmlformats.org/officeDocument/2006/relationships" type="chord" r:blip="">
                    <dgm:adjLst>
                      <dgm:adj idx="1" val="0"/>
                      <dgm:adj idx="2" val="180"/>
                    </dgm:adjLst>
                  </dgm:shape>
                </dgm:if>
                <dgm:if name="Name22" axis="followSib" ptType="node" func="cnt" op="equ" val="3">
                  <dgm:shape xmlns:r="http://schemas.openxmlformats.org/officeDocument/2006/relationships" type="chord" r:blip="">
                    <dgm:adjLst>
                      <dgm:adj idx="1" val="11.537"/>
                      <dgm:adj idx="2" val="168.463"/>
                    </dgm:adjLst>
                  </dgm:shape>
                </dgm:if>
                <dgm:if name="Name23" axis="followSib" ptType="node" func="cnt" op="equ" val="4">
                  <dgm:shape xmlns:r="http://schemas.openxmlformats.org/officeDocument/2006/relationships" type="chord" r:blip="">
                    <dgm:adjLst>
                      <dgm:adj idx="1" val="19.4712"/>
                      <dgm:adj idx="2" val="160.5288"/>
                    </dgm:adjLst>
                  </dgm:shape>
                </dgm:if>
                <dgm:else name="Name24">
                  <dgm:shape xmlns:r="http://schemas.openxmlformats.org/officeDocument/2006/relationships" type="chord" r:blip="">
                    <dgm:adjLst>
                      <dgm:adj idx="1" val="25.3769"/>
                      <dgm:adj idx="2" val="154.6231"/>
                    </dgm:adjLst>
                  </dgm:shape>
                </dgm:else>
              </dgm:choose>
            </dgm:if>
            <dgm:if name="Name25" axis="precedSib" ptType="node" func="cnt" op="equ" val="2">
              <dgm:choose name="Name26">
                <dgm:if name="Name27" axis="followSib" ptType="node" func="cnt" op="equ" val="0">
                  <dgm:shape xmlns:r="http://schemas.openxmlformats.org/officeDocument/2006/relationships" type="chord" r:blip="">
                    <dgm:adjLst>
                      <dgm:adj idx="1" val="-90"/>
                      <dgm:adj idx="2" val="-90"/>
                    </dgm:adjLst>
                  </dgm:shape>
                </dgm:if>
                <dgm:if name="Name28" axis="followSib" ptType="node" func="cnt" op="equ" val="1">
                  <dgm:shape xmlns:r="http://schemas.openxmlformats.org/officeDocument/2006/relationships" type="chord" r:blip="">
                    <dgm:adjLst>
                      <dgm:adj idx="1" val="-30"/>
                      <dgm:adj idx="2" val="-150"/>
                    </dgm:adjLst>
                  </dgm:shape>
                </dgm:if>
                <dgm:if name="Name29" axis="followSib" ptType="node" func="cnt" op="equ" val="2">
                  <dgm:shape xmlns:r="http://schemas.openxmlformats.org/officeDocument/2006/relationships" type="chord" r:blip="">
                    <dgm:adjLst>
                      <dgm:adj idx="1" val="-11.537"/>
                      <dgm:adj idx="2" val="-168.463"/>
                    </dgm:adjLst>
                  </dgm:shape>
                </dgm:if>
                <dgm:if name="Name30" axis="followSib" ptType="node" func="cnt" op="equ" val="3">
                  <dgm:shape xmlns:r="http://schemas.openxmlformats.org/officeDocument/2006/relationships" type="chord" r:blip="">
                    <dgm:adjLst>
                      <dgm:adj idx="1" val="0"/>
                      <dgm:adj idx="2" val="180"/>
                    </dgm:adjLst>
                  </dgm:shape>
                </dgm:if>
                <dgm:else name="Name31">
                  <dgm:shape xmlns:r="http://schemas.openxmlformats.org/officeDocument/2006/relationships" type="chord" r:blip="">
                    <dgm:adjLst>
                      <dgm:adj idx="1" val="8.2133"/>
                      <dgm:adj idx="2" val="171.7867"/>
                    </dgm:adjLst>
                  </dgm:shape>
                </dgm:else>
              </dgm:choose>
            </dgm:if>
            <dgm:if name="Name32" axis="precedSib" ptType="node" func="cnt" op="equ" val="3">
              <dgm:choose name="Name33">
                <dgm:if name="Name34" axis="followSib" ptType="node" func="cnt" op="equ" val="0">
                  <dgm:shape xmlns:r="http://schemas.openxmlformats.org/officeDocument/2006/relationships" type="chord" r:blip="">
                    <dgm:adjLst>
                      <dgm:adj idx="1" val="-90"/>
                      <dgm:adj idx="2" val="-90"/>
                    </dgm:adjLst>
                  </dgm:shape>
                </dgm:if>
                <dgm:if name="Name35" axis="followSib" ptType="node" func="cnt" op="equ" val="1">
                  <dgm:shape xmlns:r="http://schemas.openxmlformats.org/officeDocument/2006/relationships" type="chord" r:blip="">
                    <dgm:adjLst>
                      <dgm:adj idx="1" val="-38.8699"/>
                      <dgm:adj idx="2" val="-143.1301"/>
                    </dgm:adjLst>
                  </dgm:shape>
                </dgm:if>
                <dgm:if name="Name36" axis="followSib" ptType="node" func="cnt" op="equ" val="2">
                  <dgm:shape xmlns:r="http://schemas.openxmlformats.org/officeDocument/2006/relationships" type="chord" r:blip="">
                    <dgm:adjLst>
                      <dgm:adj idx="1" val="-19.4712"/>
                      <dgm:adj idx="2" val="-160.5288"/>
                    </dgm:adjLst>
                  </dgm:shape>
                </dgm:if>
                <dgm:else name="Name37">
                  <dgm:shape xmlns:r="http://schemas.openxmlformats.org/officeDocument/2006/relationships" type="chord" r:blip="">
                    <dgm:adjLst>
                      <dgm:adj idx="1" val="-8.2133"/>
                      <dgm:adj idx="2" val="-171.7867"/>
                    </dgm:adjLst>
                  </dgm:shape>
                </dgm:else>
              </dgm:choose>
            </dgm:if>
            <dgm:if name="Name38" axis="precedSib" ptType="node" func="cnt" op="equ" val="4">
              <dgm:choose name="Name39">
                <dgm:if name="Name40" axis="followSib" ptType="node" func="cnt" op="equ" val="0">
                  <dgm:shape xmlns:r="http://schemas.openxmlformats.org/officeDocument/2006/relationships" type="chord" r:blip="">
                    <dgm:adjLst>
                      <dgm:adj idx="1" val="-90"/>
                      <dgm:adj idx="2" val="-90"/>
                    </dgm:adjLst>
                  </dgm:shape>
                </dgm:if>
                <dgm:if name="Name41" axis="followSib" ptType="node" func="cnt" op="equ" val="1">
                  <dgm:shape xmlns:r="http://schemas.openxmlformats.org/officeDocument/2006/relationships" type="chord" r:blip="">
                    <dgm:adjLst>
                      <dgm:adj idx="1" val="-41.8103"/>
                      <dgm:adj idx="2" val="-138.1897"/>
                    </dgm:adjLst>
                  </dgm:shape>
                </dgm:if>
                <dgm:else name="Name42">
                  <dgm:shape xmlns:r="http://schemas.openxmlformats.org/officeDocument/2006/relationships" type="chord" r:blip="">
                    <dgm:adjLst>
                      <dgm:adj idx="1" val="-25.3769"/>
                      <dgm:adj idx="2" val="-154.6231"/>
                    </dgm:adjLst>
                  </dgm:shape>
                </dgm:else>
              </dgm:choose>
            </dgm:if>
            <dgm:if name="Name43" axis="precedSib" ptType="node" func="cnt" op="equ" val="5">
              <dgm:choose name="Name44">
                <dgm:if name="Name45" axis="followSib" ptType="node" func="cnt" op="equ" val="0">
                  <dgm:shape xmlns:r="http://schemas.openxmlformats.org/officeDocument/2006/relationships" type="chord" r:blip="">
                    <dgm:adjLst>
                      <dgm:adj idx="1" val="-90"/>
                      <dgm:adj idx="2" val="-90"/>
                    </dgm:adjLst>
                  </dgm:shape>
                </dgm:if>
                <dgm:else name="Name46">
                  <dgm:shape xmlns:r="http://schemas.openxmlformats.org/officeDocument/2006/relationships" type="chord" r:blip="">
                    <dgm:adjLst>
                      <dgm:adj idx="1" val="-45.5847"/>
                      <dgm:adj idx="2" val="-134.4153"/>
                    </dgm:adjLst>
                  </dgm:shape>
                </dgm:else>
              </dgm:choose>
            </dgm:if>
            <dgm:else name="Name47">
              <dgm:shape xmlns:r="http://schemas.openxmlformats.org/officeDocument/2006/relationships" type="chord" r:blip="">
                <dgm:adjLst>
                  <dgm:adj idx="1" val="-90"/>
                  <dgm:adj idx="2" val="-90"/>
                </dgm:adjLst>
              </dgm:shape>
            </dgm:else>
          </dgm:choose>
          <dgm:presOf/>
        </dgm:layoutNode>
        <dgm:layoutNode name="Child" styleLbl="revTx">
          <dgm:varLst>
            <dgm:chMax val="0"/>
            <dgm:chPref val="0"/>
            <dgm:bulletEnabled val="1"/>
          </dgm:varLst>
          <dgm:choose name="Name48">
            <dgm:if name="Name49" func="var" arg="dir" op="equ" val="norm">
              <dgm:alg type="tx">
                <dgm:param type="parTxLTRAlign" val="l"/>
                <dgm:param type="parTxRTLAlign" val="l"/>
                <dgm:param type="txAnchorVert" val="t"/>
              </dgm:alg>
            </dgm:if>
            <dgm:else name="Name50">
              <dgm:alg type="tx">
                <dgm:param type="parTxLTRAlign" val="r"/>
                <dgm:param type="parTxRTLAlign" val="r"/>
                <dgm:param type="txAnchorVert" val="t"/>
              </dgm:alg>
            </dgm:else>
          </dgm:choose>
          <dgm:choose name="Name51">
            <dgm:if name="Name52" axis="ch" ptType="node" func="cnt" op="gte" val="1">
              <dgm:shape xmlns:r="http://schemas.openxmlformats.org/officeDocument/2006/relationships" type="rect" r:blip="">
                <dgm:adjLst/>
              </dgm:shape>
            </dgm:if>
            <dgm:else name="Name53">
              <dgm:shape xmlns:r="http://schemas.openxmlformats.org/officeDocument/2006/relationships" type="rect" r:blip="" hideGeom="1">
                <dgm:adjLst/>
              </dgm:shape>
            </dgm:else>
          </dgm:choose>
          <dgm:choose name="Name54">
            <dgm:if name="Name55" axis="ch" ptType="node" func="cnt" op="gte" val="1">
              <dgm:presOf axis="des" ptType="node"/>
            </dgm:if>
            <dgm:else name="Name56">
              <dgm:presOf/>
            </dgm:else>
          </dgm:choos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name="Parent" styleLbl="revTx">
          <dgm:varLst>
            <dgm:chMax val="1"/>
            <dgm:chPref val="1"/>
            <dgm:bulletEnabled val="1"/>
          </dgm:varLst>
          <dgm:choose name="Name57">
            <dgm:if name="Name58" func="var" arg="dir" op="equ" val="norm">
              <dgm:alg type="tx">
                <dgm:param type="parTxLTRAlign" val="l"/>
                <dgm:param type="parTxRTLAlign" val="l"/>
                <dgm:param type="shpTxLTRAlignCh" val="l"/>
                <dgm:param type="shpTxRTLAlignCh" val="l"/>
                <dgm:param type="txAnchorVert" val="b"/>
                <dgm:param type="txAnchorVertCh" val="b"/>
              </dgm:alg>
            </dgm:if>
            <dgm:else name="Name59">
              <dgm:alg type="tx">
                <dgm:param type="parTxLTRAlign" val="r"/>
                <dgm:param type="parTxRTLAlign" val="r"/>
                <dgm:param type="shpTxLTRAlignCh" val="r"/>
                <dgm:param type="shpTxRTLAlignCh" val="r"/>
                <dgm:param type="txAnchorVert" val="b"/>
                <dgm:param type="txAnchorVertCh" val="b"/>
              </dgm:alg>
            </dgm:else>
          </dgm:choose>
          <dgm:shape xmlns:r="http://schemas.openxmlformats.org/officeDocument/2006/relationships" type="rect" r:blip="">
            <dgm:adjLst/>
          </dgm:shape>
          <dgm:presOf axis="self" ptType="node"/>
          <dgm:constrLst>
            <dgm:constr type="lMarg" refType="primFontSz" fact="0.2"/>
            <dgm:constr type="rMarg" refType="primFontSz" fact="0.2"/>
            <dgm:constr type="tMarg" refType="primFontSz" fact="0.2"/>
            <dgm:constr type="bMarg" refType="primFontSz" fact="0.2"/>
          </dgm:constrLst>
          <dgm:ruleLst>
            <dgm:rule type="primFontSz" val="5" fact="NaN" max="NaN"/>
          </dgm:ruleLst>
        </dgm:layoutNod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8.xml><?xml version="1.0" encoding="utf-8"?>
<dgm:layoutDef xmlns:dgm="http://schemas.openxmlformats.org/drawingml/2006/diagram" xmlns:a="http://schemas.openxmlformats.org/drawingml/2006/main" uniqueId="urn:microsoft.com/office/officeart/2005/8/layout/hList1">
  <dgm:title val=""/>
  <dgm:desc val=""/>
  <dgm:catLst>
    <dgm:cat type="list" pri="5000"/>
    <dgm:cat type="convert" pri="5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6" srcId="0" destId="3" srcOrd="2" destOrd="0"/>
        <dgm:cxn modelId="13" srcId="1" destId="11" srcOrd="0" destOrd="0"/>
        <dgm:cxn modelId="14" srcId="1" destId="12" srcOrd="1" destOrd="0"/>
        <dgm:cxn modelId="23" srcId="2" destId="21" srcOrd="0" destOrd="0"/>
        <dgm:cxn modelId="24" srcId="2" destId="22" srcOrd="1" destOrd="0"/>
        <dgm:cxn modelId="33" srcId="3" destId="31" srcOrd="0" destOrd="0"/>
        <dgm:cxn modelId="34" srcId="3" destId="32" srcOrd="1" destOrd="0"/>
      </dgm:cxnLst>
      <dgm:bg/>
      <dgm:whole/>
    </dgm:dataModel>
  </dgm:sampData>
  <dgm:styleData>
    <dgm:dataModel>
      <dgm:ptLst>
        <dgm:pt modelId="0" type="doc"/>
        <dgm:pt modelId="1">
          <dgm:prSet phldr="1"/>
        </dgm:pt>
        <dgm:pt modelId="2">
          <dgm:prSet phldr="1"/>
        </dgm:pt>
      </dgm:ptLst>
      <dgm:cxnLst>
        <dgm:cxn modelId="3" srcId="0" destId="1" srcOrd="0" destOrd="0"/>
        <dgm:cxn modelId="4" srcId="0" destId="2" srcOrd="1" destOrd="0"/>
      </dgm:cxnLst>
      <dgm:bg/>
      <dgm:whole/>
    </dgm:dataModel>
  </dgm:styleData>
  <dgm:clrData>
    <dgm:dataModel>
      <dgm:ptLst>
        <dgm:pt modelId="0" type="doc"/>
        <dgm:pt modelId="1">
          <dgm:prSet phldr="1"/>
        </dgm:pt>
        <dgm:pt modelId="2">
          <dgm:prSet phldr="1"/>
        </dgm:pt>
        <dgm:pt modelId="3">
          <dgm:prSet phldr="1"/>
        </dgm:pt>
        <dgm:pt modelId="4">
          <dgm:prSet phldr="1"/>
        </dgm:pt>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animLvl val="lvl"/>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h" for="ch" forName="composite" refType="h"/>
      <dgm:constr type="w" for="ch" forName="composite" refType="w"/>
      <dgm:constr type="w" for="des" forName="parTx"/>
      <dgm:constr type="h" for="des" forName="parTx" op="equ"/>
      <dgm:constr type="w" for="des" forName="desTx"/>
      <dgm:constr type="h" for="des" forName="desTx" op="equ"/>
      <dgm:constr type="primFontSz" for="des" forName="parTx" val="65"/>
      <dgm:constr type="secFontSz" for="des" forName="desTx" refType="primFontSz" refFor="des" refForName="parTx" op="equ"/>
      <dgm:constr type="h" for="des" forName="parTx" refType="primFontSz" refFor="des" refForName="parTx" fact="0.8"/>
      <dgm:constr type="h" for="des" forName="desTx" refType="primFontSz" refFor="des" refForName="parTx" fact="1.22"/>
      <dgm:constr type="w" for="ch" forName="space" refType="w" refFor="ch" refForName="composite" op="equ" fact="0.14"/>
    </dgm:constrLst>
    <dgm:ruleLst>
      <dgm:rule type="w" for="ch" forName="composite" val="0" fact="NaN" max="NaN"/>
      <dgm:rule type="primFontSz" for="des" forName="parTx" val="5" fact="NaN" max="NaN"/>
    </dgm:ruleLst>
    <dgm:forEach name="Name4" axis="ch" ptType="node">
      <dgm:layoutNode name="composite">
        <dgm:alg type="composite"/>
        <dgm:shape xmlns:r="http://schemas.openxmlformats.org/officeDocument/2006/relationships" r:blip="">
          <dgm:adjLst/>
        </dgm:shape>
        <dgm:presOf/>
        <dgm:constrLst>
          <dgm:constr type="l" for="ch" forName="parTx"/>
          <dgm:constr type="w" for="ch" forName="parTx" refType="w"/>
          <dgm:constr type="t" for="ch" forName="parTx"/>
          <dgm:constr type="l" for="ch" forName="desTx"/>
          <dgm:constr type="w" for="ch" forName="desTx" refType="w" refFor="ch" refForName="parTx"/>
          <dgm:constr type="t" for="ch" forName="desTx" refType="h" refFor="ch" refForName="parTx"/>
        </dgm:constrLst>
        <dgm:ruleLst>
          <dgm:rule type="h" val="INF" fact="NaN" max="NaN"/>
        </dgm:ruleLst>
        <dgm:layoutNode name="parTx" styleLbl="alignNode1">
          <dgm:varLst>
            <dgm:chMax val="0"/>
            <dgm:chPref val="0"/>
            <dgm:bulletEnabled val="1"/>
          </dgm:varLst>
          <dgm:alg type="tx"/>
          <dgm:shape xmlns:r="http://schemas.openxmlformats.org/officeDocument/2006/relationships" type="rect" r:blip="">
            <dgm:adjLst/>
          </dgm:shape>
          <dgm:presOf axis="self" ptType="node"/>
          <dgm:constrLst>
            <dgm:constr type="h" refType="w" op="lte" fact="0.4"/>
            <dgm:constr type="h"/>
            <dgm:constr type="tMarg" refType="primFontSz" fact="0.32"/>
            <dgm:constr type="bMarg" refType="primFontSz" fact="0.32"/>
          </dgm:constrLst>
          <dgm:ruleLst>
            <dgm:rule type="h" val="INF" fact="NaN" max="NaN"/>
          </dgm:ruleLst>
        </dgm:layoutNode>
        <dgm:layoutNode name="desTx" styleLbl="alignAccFollowNode1">
          <dgm:varLst>
            <dgm:bulletEnabled val="1"/>
          </dgm:varLst>
          <dgm:alg type="tx">
            <dgm:param type="stBulletLvl" val="1"/>
          </dgm:alg>
          <dgm:shape xmlns:r="http://schemas.openxmlformats.org/officeDocument/2006/relationships" type="rect" r:blip="">
            <dgm:adjLst/>
          </dgm:shape>
          <dgm:presOf axis="des" ptType="node"/>
          <dgm:constrLst>
            <dgm:constr type="secFontSz" val="65"/>
            <dgm:constr type="primFontSz" refType="secFontSz"/>
            <dgm:constr type="h"/>
            <dgm:constr type="lMarg" refType="primFontSz" fact="0.42"/>
            <dgm:constr type="tMarg" refType="primFontSz" fact="0.42"/>
            <dgm:constr type="bMarg" refType="primFontSz" fact="0.63"/>
          </dgm:constrLst>
          <dgm:ruleLst>
            <dgm:rule type="h" val="INF" fact="NaN" max="NaN"/>
          </dgm:ruleLst>
        </dgm:layoutNode>
      </dgm:layoutNode>
      <dgm:forEach name="Name5" axis="followSib" ptType="sibTrans" cnt="1">
        <dgm:layoutNode name="space">
          <dgm:alg type="sp"/>
          <dgm:shape xmlns:r="http://schemas.openxmlformats.org/officeDocument/2006/relationships" r:blip="">
            <dgm:adjLst/>
          </dgm:shape>
          <dgm:presOf/>
          <dgm:constrLst/>
          <dgm:ruleLst/>
        </dgm:layoutNode>
      </dgm:forEach>
    </dgm:forEach>
  </dgm:layoutNode>
</dgm:layoutDef>
</file>

<file path=xl/diagrams/layout9.xml><?xml version="1.0" encoding="utf-8"?>
<dgm:layoutDef xmlns:dgm="http://schemas.openxmlformats.org/drawingml/2006/diagram" xmlns:a="http://schemas.openxmlformats.org/drawingml/2006/main" uniqueId="urn:microsoft.com/office/officeart/2005/8/layout/target3">
  <dgm:title val=""/>
  <dgm:desc val=""/>
  <dgm:catLst>
    <dgm:cat type="relationship" pri="11000"/>
    <dgm:cat type="list" pri="22000"/>
    <dgm:cat type="convert" pri="4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6" srcId="0" destId="3" srcOrd="2" destOrd="0"/>
        <dgm:cxn modelId="41" srcId="1" destId="11" srcOrd="0" destOrd="0"/>
        <dgm:cxn modelId="42" srcId="1" destId="12" srcOrd="1" destOrd="0"/>
        <dgm:cxn modelId="51" srcId="2" destId="21" srcOrd="0" destOrd="0"/>
        <dgm:cxn modelId="52" srcId="2" destId="22" srcOrd="1" destOrd="0"/>
        <dgm:cxn modelId="61" srcId="3" destId="31" srcOrd="0" destOrd="0"/>
        <dgm:cxn modelId="62" srcId="3" destId="32" srcOrd="1" destOrd="0"/>
      </dgm:cxnLst>
      <dgm:bg/>
      <dgm:whole/>
    </dgm:dataModel>
  </dgm:sampData>
  <dgm:styleData>
    <dgm:dataModel>
      <dgm:ptLst>
        <dgm:pt modelId="0" type="doc"/>
        <dgm:pt modelId="1"/>
        <dgm:pt modelId="11"/>
        <dgm:pt modelId="12"/>
        <dgm:pt modelId="2"/>
        <dgm:pt modelId="21"/>
        <dgm:pt modelId="22"/>
        <dgm:pt modelId="3"/>
        <dgm:pt modelId="31"/>
        <dgm:pt modelId="32"/>
      </dgm:ptLst>
      <dgm:cxnLst>
        <dgm:cxn modelId="4" srcId="0" destId="1" srcOrd="0" destOrd="0"/>
        <dgm:cxn modelId="5" srcId="0" destId="2" srcOrd="1" destOrd="0"/>
        <dgm:cxn modelId="6" srcId="0" destId="3" srcOrd="2" destOrd="0"/>
        <dgm:cxn modelId="41" srcId="1" destId="11" srcOrd="0" destOrd="0"/>
        <dgm:cxn modelId="42" srcId="1" destId="12" srcOrd="1" destOrd="0"/>
        <dgm:cxn modelId="51" srcId="2" destId="21" srcOrd="0" destOrd="0"/>
        <dgm:cxn modelId="52" srcId="2" destId="22" srcOrd="1" destOrd="0"/>
        <dgm:cxn modelId="61" srcId="3" destId="31" srcOrd="0" destOrd="0"/>
        <dgm:cxn modelId="62" srcId="3" destId="32" srcOrd="1" destOrd="0"/>
      </dgm:cxnLst>
      <dgm:bg/>
      <dgm:whole/>
    </dgm:dataModel>
  </dgm:styleData>
  <dgm:clrData>
    <dgm:dataModel>
      <dgm:ptLst>
        <dgm:pt modelId="0" type="doc"/>
        <dgm:pt modelId="1"/>
        <dgm:pt modelId="11"/>
        <dgm:pt modelId="12"/>
        <dgm:pt modelId="2"/>
        <dgm:pt modelId="21"/>
        <dgm:pt modelId="22"/>
        <dgm:pt modelId="3"/>
        <dgm:pt modelId="31"/>
        <dgm:pt modelId="32"/>
      </dgm:ptLst>
      <dgm:cxnLst>
        <dgm:cxn modelId="4" srcId="0" destId="1" srcOrd="0" destOrd="0"/>
        <dgm:cxn modelId="5" srcId="0" destId="2" srcOrd="1" destOrd="0"/>
        <dgm:cxn modelId="6" srcId="0" destId="3" srcOrd="2" destOrd="0"/>
        <dgm:cxn modelId="41" srcId="1" destId="11" srcOrd="0" destOrd="0"/>
        <dgm:cxn modelId="42" srcId="1" destId="12" srcOrd="1" destOrd="0"/>
        <dgm:cxn modelId="51" srcId="2" destId="21" srcOrd="0" destOrd="0"/>
        <dgm:cxn modelId="52" srcId="2" destId="22" srcOrd="1" destOrd="0"/>
        <dgm:cxn modelId="61" srcId="3" destId="31" srcOrd="0" destOrd="0"/>
        <dgm:cxn modelId="62" srcId="3" destId="32" srcOrd="1" destOrd="0"/>
      </dgm:cxnLst>
      <dgm:bg/>
      <dgm:whole/>
    </dgm:dataModel>
  </dgm:clrData>
  <dgm:layoutNode name="Name0">
    <dgm:varLst>
      <dgm:chMax val="7"/>
      <dgm:dir/>
      <dgm:animLvl val="lvl"/>
      <dgm:resizeHandles val="exact"/>
    </dgm:varLst>
    <dgm:alg type="composite"/>
    <dgm:shape xmlns:r="http://schemas.openxmlformats.org/officeDocument/2006/relationships" r:blip="">
      <dgm:adjLst/>
    </dgm:shape>
    <dgm:presOf/>
    <dgm:choose name="Name1">
      <dgm:if name="Name2" func="var" arg="dir" op="equ" val="norm">
        <dgm:choose name="Name3">
          <dgm:if name="Name4" axis="ch" ptType="node" func="cnt" op="equ" val="1">
            <dgm:constrLst>
              <dgm:constr type="userA" refType="w" fact="0.3"/>
              <dgm:constr type="w" for="ch" forName="circle1" refType="userA" fact="2"/>
              <dgm:constr type="h" for="ch" forName="circle1" refType="w" refFor="ch" refForName="circle1" op="equ"/>
              <dgm:constr type="l" for="ch" forName="circle1"/>
              <dgm:constr type="ctrY" for="ch" forName="circle1" refType="h" fact="0.5"/>
              <dgm:constr type="l" for="ch" forName="space" refType="ctrX" refFor="ch" refForName="circle1"/>
              <dgm:constr type="w" for="ch" forName="space"/>
              <dgm:constr type="h" for="ch" forName="space" refType="h" refFor="ch" refForName="circle1"/>
              <dgm:constr type="b" for="ch" forName="space" refType="b" refFor="ch" refForName="circle1"/>
              <dgm:constr type="l" for="ch" forName="rect1" refType="r" refFor="ch" refForName="space"/>
              <dgm:constr type="r" for="ch" forName="rect1" refType="w"/>
              <dgm:constr type="h" for="ch" forName="rect1" refType="h" refFor="ch" refForName="circle1"/>
              <dgm:constr type="b" for="ch" forName="rect1" refType="b" refFor="ch" refForName="circle1"/>
              <dgm:constr type="l" for="ch" forName="rect1ParTx" refType="r" refFor="ch" refForName="space"/>
              <dgm:constr type="w" for="ch" forName="rect1ParTx" refType="w" refFor="ch" refForName="rect1" fact="0.5"/>
              <dgm:constr type="t" for="ch" forName="rect1ParTx" refType="t" refFor="ch" refForName="rect1"/>
              <dgm:constr type="b" for="ch" forName="rect1ParTx" refType="b" refFor="ch" refForName="rect1"/>
              <dgm:constr type="l" for="ch" forName="rect1ChTx" refType="r" refFor="ch" refForName="rect1ParTx"/>
              <dgm:constr type="w" for="ch" forName="rect1ChTx" refType="w" refFor="ch" refForName="rect1ParTx"/>
              <dgm:constr type="t" for="ch" forName="rect1ChTx" refType="t" refFor="ch" refForName="rect1ParTx"/>
              <dgm:constr type="b" for="ch" forName="rect1ChTx" refType="b" refFor="ch" refForName="rect1ParTx"/>
              <dgm:constr type="l" for="ch" forName="rect1ParTxNoCh" refType="r" refFor="ch" refForName="space"/>
              <dgm:constr type="w" for="ch" forName="rect1ParTxNoCh" refType="w" refFor="ch" refForName="rect1"/>
              <dgm:constr type="t" for="ch" forName="rect1ParTxNoCh" refType="t" refFor="ch" refForName="rect1"/>
              <dgm:constr type="b" for="ch" forName="rect1ParTxNoCh" refType="b" refFor="ch" refForName="rect1"/>
              <dgm:constr type="primFontSz" for="ch" op="equ" val="65"/>
              <dgm:constr type="secFontSz" for="ch" op="equ" val="65"/>
            </dgm:constrLst>
          </dgm:if>
          <dgm:if name="Name5" axis="ch" ptType="node" func="cnt" op="equ" val="2">
            <dgm:constrLst>
              <dgm:constr type="userA" refType="w" fact="0.3"/>
              <dgm:constr type="w" for="ch" forName="circle1" refType="userA" fact="2"/>
              <dgm:constr type="h" for="ch" forName="circle1" refType="w" refFor="ch" refForName="circle1" op="equ"/>
              <dgm:constr type="l" for="ch" forName="circle1"/>
              <dgm:constr type="ctrY" for="ch" forName="circle1" refType="h" fact="0.5"/>
              <dgm:constr type="l" for="ch" forName="space" refType="ctrX" refFor="ch" refForName="circle1"/>
              <dgm:constr type="w" for="ch" forName="space"/>
              <dgm:constr type="h" for="ch" forName="space" refType="h" refFor="ch" refForName="circle1"/>
              <dgm:constr type="b" for="ch" forName="space" refType="b" refFor="ch" refForName="circle1"/>
              <dgm:constr type="l" for="ch" forName="rect1" refType="r" refFor="ch" refForName="space"/>
              <dgm:constr type="r" for="ch" forName="rect1" refType="w"/>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l" refFor="ch" refForName="space"/>
              <dgm:constr type="h" for="ch" forName="circle2" refType="h" refFor="ch" refForName="circle1" fact="0.5"/>
              <dgm:constr type="hOff" for="ch" forName="circle2" refType="h" refFor="ch" refForName="vertSpace2" fact="-0.5"/>
              <dgm:constr type="w" for="ch" forName="circle2" refType="h" refFor="ch" refForName="circle2" op="equ"/>
              <dgm:constr type="wOff" for="ch" forName="circle2" refType="hOff" refFor="ch" refForName="circle2" op="equ"/>
              <dgm:constr type="b" for="ch" forName="circle2" refType="t" refFor="ch" refForName="vertSpace2"/>
              <dgm:constr type="l" for="ch" forName="rect2" refType="r" refFor="ch" refForName="space"/>
              <dgm:constr type="r" for="ch" forName="rect2" refType="w"/>
              <dgm:constr type="h" for="ch" forName="rect2" refType="h" refFor="ch" refForName="circle2"/>
              <dgm:constr type="hOff" for="ch" forName="rect2" refType="hOff" refFor="ch" refForName="circle2"/>
              <dgm:constr type="b" for="ch" forName="rect2" refType="b" refFor="ch" refForName="circle2"/>
              <dgm:constr type="l" for="ch" forName="rect2ParTx" refType="r" refFor="ch" refForName="space"/>
              <dgm:constr type="w" for="ch" forName="rect2ParTx" refType="w" refFor="ch" refForName="rect2" fact="0.5"/>
              <dgm:constr type="t" for="ch" forName="rect2ParTx" refType="t" refFor="ch" refForName="rect2"/>
              <dgm:constr type="b" for="ch" forName="rect2ParTx" refType="b" refFor="ch" refForName="rect2"/>
              <dgm:constr type="l" for="ch" forName="rect2ChTx" refType="r" refFor="ch" refForName="rect2ParTx"/>
              <dgm:constr type="w" for="ch" forName="rect2ChTx" refType="w" refFor="ch" refForName="rect2ParTx"/>
              <dgm:constr type="t" for="ch" forName="rect2ChTx" refType="t" refFor="ch" refForName="rect2ParTx"/>
              <dgm:constr type="b" for="ch" forName="rect2ChTx" refType="b" refFor="ch" refForName="rect2ParTx"/>
              <dgm:constr type="l" for="ch" forName="rect2ParTxNoCh" refType="r" refFor="ch" refForName="space"/>
              <dgm:constr type="w" for="ch" forName="rect2ParTxNoCh" refType="w" refFor="ch" refForName="rect2"/>
              <dgm:constr type="t" for="ch" forName="rect2ParTxNoCh" refType="t" refFor="ch" refForName="rect2"/>
              <dgm:constr type="b" for="ch" forName="rect2ParTxNoCh" refType="b" refFor="ch" refForName="rect2"/>
              <dgm:constr type="l" for="ch" forName="rect1ParTx" refType="r" refFor="ch" refForName="space"/>
              <dgm:constr type="w" for="ch" forName="rect1ParTx" refType="w" refFor="ch" refForName="rect1" fact="0.5"/>
              <dgm:constr type="t" for="ch" forName="rect1ParTx" refType="t" refFor="ch" refForName="rect1"/>
              <dgm:constr type="b" for="ch" forName="rect1ParTx" refType="t" refFor="ch" refForName="rect2"/>
              <dgm:constr type="l" for="ch" forName="rect1ChTx" refType="r" refFor="ch" refForName="rect1ParTx"/>
              <dgm:constr type="w" for="ch" forName="rect1ChTx" refType="w" refFor="ch" refForName="rect1ParTx"/>
              <dgm:constr type="t" for="ch" forName="rect1ChTx" refType="t" refFor="ch" refForName="rect1ParTx"/>
              <dgm:constr type="b" for="ch" forName="rect1ChTx" refType="b" refFor="ch" refForName="rect1ParTx"/>
              <dgm:constr type="l" for="ch" forName="rect1ParTxNoCh" refType="r" refFor="ch" refForName="space"/>
              <dgm:constr type="w" for="ch" forName="rect1ParTxNoCh" refType="w" refFor="ch" refForName="rect1"/>
              <dgm:constr type="t" for="ch" forName="rect1ParTxNoCh" refType="t" refFor="ch" refForName="rect1"/>
              <dgm:constr type="b" for="ch" forName="rect1ParTxNoCh" refType="t" refFor="ch" refForName="rect2"/>
              <dgm:constr type="primFontSz" for="ch" op="equ" val="65"/>
              <dgm:constr type="secFontSz" for="ch" op="equ" val="65"/>
            </dgm:constrLst>
          </dgm:if>
          <dgm:if name="Name6" axis="ch" ptType="node" func="cnt" op="equ" val="3">
            <dgm:constrLst>
              <dgm:constr type="userA" refType="w" fact="0.3"/>
              <dgm:constr type="w" for="ch" forName="circle1" refType="userA" fact="2"/>
              <dgm:constr type="h" for="ch" forName="circle1" refType="w" refFor="ch" refForName="circle1" op="equ"/>
              <dgm:constr type="l" for="ch" forName="circle1"/>
              <dgm:constr type="ctrY" for="ch" forName="circle1" refType="h" fact="0.5"/>
              <dgm:constr type="l" for="ch" forName="space" refType="ctrX" refFor="ch" refForName="circle1"/>
              <dgm:constr type="w" for="ch" forName="space"/>
              <dgm:constr type="h" for="ch" forName="space" refType="h" refFor="ch" refForName="circle1"/>
              <dgm:constr type="b" for="ch" forName="space" refType="b" refFor="ch" refForName="circle1"/>
              <dgm:constr type="l" for="ch" forName="rect1" refType="r" refFor="ch" refForName="space"/>
              <dgm:constr type="r" for="ch" forName="rect1" refType="w"/>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l" refFor="ch" refForName="space"/>
              <dgm:constr type="h" for="ch" forName="circle2" refType="h" refFor="ch" refForName="circle1" fact="0.66667"/>
              <dgm:constr type="hOff" for="ch" forName="circle2" refType="h" refFor="ch" refForName="vertSpace2" fact="-0.33333"/>
              <dgm:constr type="w" for="ch" forName="circle2" refType="h" refFor="ch" refForName="circle2" op="equ"/>
              <dgm:constr type="wOff" for="ch" forName="circle2" refType="hOff" refFor="ch" refForName="circle2" op="equ"/>
              <dgm:constr type="b" for="ch" forName="circle2" refType="t" refFor="ch" refForName="vertSpace2"/>
              <dgm:constr type="l" for="ch" forName="rect2" refType="r" refFor="ch" refForName="space"/>
              <dgm:constr type="r" for="ch" forName="rect2" refType="w"/>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l" refFor="ch" refForName="space"/>
              <dgm:constr type="h" for="ch" forName="circle3" refType="h" refFor="ch" refForName="circle1" fact="0.33333"/>
              <dgm:constr type="hOff" for="ch" forName="circle3" refType="h" refFor="ch" refForName="vertSpace2" fact="-0.66667"/>
              <dgm:constr type="w" for="ch" forName="circle3" refType="h" refFor="ch" refForName="circle3" op="equ"/>
              <dgm:constr type="wOff" for="ch" forName="circle3" refType="hOff" refFor="ch" refForName="circle3" op="equ"/>
              <dgm:constr type="b" for="ch" forName="circle3" refType="t" refFor="ch" refForName="vertSpace3"/>
              <dgm:constr type="l" for="ch" forName="rect3" refType="r" refFor="ch" refForName="space"/>
              <dgm:constr type="r" for="ch" forName="rect3" refType="w"/>
              <dgm:constr type="h" for="ch" forName="rect3" refType="h" refFor="ch" refForName="circle3"/>
              <dgm:constr type="hOff" for="ch" forName="rect3" refType="hOff" refFor="ch" refForName="circle3"/>
              <dgm:constr type="b" for="ch" forName="rect3" refType="b" refFor="ch" refForName="circle3"/>
              <dgm:constr type="l" for="ch" forName="rect3ParTx" refType="r" refFor="ch" refForName="space"/>
              <dgm:constr type="w" for="ch" forName="rect3ParTx" refType="w" refFor="ch" refForName="rect3" fact="0.5"/>
              <dgm:constr type="t" for="ch" forName="rect3ParTx" refType="t" refFor="ch" refForName="rect3"/>
              <dgm:constr type="b" for="ch" forName="rect3ParTx" refType="b" refFor="ch" refForName="rect3"/>
              <dgm:constr type="l" for="ch" forName="rect3ChTx" refType="r" refFor="ch" refForName="rect3ParTx"/>
              <dgm:constr type="w" for="ch" forName="rect3ChTx" refType="w" refFor="ch" refForName="rect3ParTx"/>
              <dgm:constr type="t" for="ch" forName="rect3ChTx" refType="t" refFor="ch" refForName="rect3ParTx"/>
              <dgm:constr type="b" for="ch" forName="rect3ChTx" refType="b" refFor="ch" refForName="rect3ParTx"/>
              <dgm:constr type="l" for="ch" forName="rect3ParTxNoCh" refType="r" refFor="ch" refForName="space"/>
              <dgm:constr type="w" for="ch" forName="rect3ParTxNoCh" refType="w" refFor="ch" refForName="rect3"/>
              <dgm:constr type="t" for="ch" forName="rect3ParTxNoCh" refType="t" refFor="ch" refForName="rect3"/>
              <dgm:constr type="b" for="ch" forName="rect3ParTxNoCh" refType="b" refFor="ch" refForName="rect3"/>
              <dgm:constr type="l" for="ch" forName="rect1ParTx" refType="r" refFor="ch" refForName="space"/>
              <dgm:constr type="w" for="ch" forName="rect1ParTx" refType="w" refFor="ch" refForName="rect1" fact="0.5"/>
              <dgm:constr type="t" for="ch" forName="rect1ParTx" refType="t" refFor="ch" refForName="rect1"/>
              <dgm:constr type="b" for="ch" forName="rect1ParTx" refType="t" refFor="ch" refForName="rect2"/>
              <dgm:constr type="l" for="ch" forName="rect1ChTx" refType="r" refFor="ch" refForName="rect1ParTx"/>
              <dgm:constr type="w" for="ch" forName="rect1ChTx" refType="w" refFor="ch" refForName="rect1ParTx"/>
              <dgm:constr type="t" for="ch" forName="rect1ChTx" refType="t" refFor="ch" refForName="rect1ParTx"/>
              <dgm:constr type="b" for="ch" forName="rect1ChTx" refType="b" refFor="ch" refForName="rect1ParTx"/>
              <dgm:constr type="l" for="ch" forName="rect1ParTxNoCh" refType="r" refFor="ch" refForName="space"/>
              <dgm:constr type="w" for="ch" forName="rect1ParTxNoCh" refType="w" refFor="ch" refForName="rect1"/>
              <dgm:constr type="t" for="ch" forName="rect1ParTxNoCh" refType="t" refFor="ch" refForName="rect1"/>
              <dgm:constr type="b" for="ch" forName="rect1ParTxNoCh" refType="t" refFor="ch" refForName="rect2"/>
              <dgm:constr type="l" for="ch" forName="rect2ParTx" refType="r" refFor="ch" refForName="space"/>
              <dgm:constr type="w" for="ch" forName="rect2ParTx" refType="w" refFor="ch" refForName="rect2" fact="0.5"/>
              <dgm:constr type="t" for="ch" forName="rect2ParTx" refType="t" refFor="ch" refForName="rect2"/>
              <dgm:constr type="b" for="ch" forName="rect2ParTx" refType="t" refFor="ch" refForName="rect3"/>
              <dgm:constr type="l" for="ch" forName="rect2ChTx" refType="r" refFor="ch" refForName="rect2ParTx"/>
              <dgm:constr type="w" for="ch" forName="rect2ChTx" refType="w" refFor="ch" refForName="rect2ParTx"/>
              <dgm:constr type="t" for="ch" forName="rect2ChTx" refType="t" refFor="ch" refForName="rect2ParTx"/>
              <dgm:constr type="b" for="ch" forName="rect2ChTx" refType="b" refFor="ch" refForName="rect2ParTx"/>
              <dgm:constr type="l" for="ch" forName="rect2ParTxNoCh" refType="r" refFor="ch" refForName="space"/>
              <dgm:constr type="w" for="ch" forName="rect2ParTxNoCh" refType="w" refFor="ch" refForName="rect2"/>
              <dgm:constr type="t" for="ch" forName="rect2ParTxNoCh" refType="t" refFor="ch" refForName="rect2"/>
              <dgm:constr type="b" for="ch" forName="rect2ParTxNoCh" refType="t" refFor="ch" refForName="rect3"/>
              <dgm:constr type="primFontSz" for="ch" op="equ" val="65"/>
              <dgm:constr type="secFontSz" for="ch" op="equ" val="65"/>
            </dgm:constrLst>
          </dgm:if>
          <dgm:if name="Name7" axis="ch" ptType="node" func="cnt" op="equ" val="4">
            <dgm:constrLst>
              <dgm:constr type="userA" refType="w" fact="0.3"/>
              <dgm:constr type="w" for="ch" forName="circle1" refType="userA" fact="2"/>
              <dgm:constr type="h" for="ch" forName="circle1" refType="w" refFor="ch" refForName="circle1" op="equ"/>
              <dgm:constr type="l" for="ch" forName="circle1"/>
              <dgm:constr type="ctrY" for="ch" forName="circle1" refType="h" fact="0.5"/>
              <dgm:constr type="l" for="ch" forName="space" refType="ctrX" refFor="ch" refForName="circle1"/>
              <dgm:constr type="w" for="ch" forName="space"/>
              <dgm:constr type="h" for="ch" forName="space" refType="h" refFor="ch" refForName="circle1"/>
              <dgm:constr type="b" for="ch" forName="space" refType="b" refFor="ch" refForName="circle1"/>
              <dgm:constr type="l" for="ch" forName="rect1" refType="r" refFor="ch" refForName="space"/>
              <dgm:constr type="r" for="ch" forName="rect1" refType="w"/>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l" refFor="ch" refForName="space"/>
              <dgm:constr type="h" for="ch" forName="circle2" refType="h" refFor="ch" refForName="circle1" fact="0.75"/>
              <dgm:constr type="hOff" for="ch" forName="circle2" refType="h" refFor="ch" refForName="vertSpace2" fact="-0.25"/>
              <dgm:constr type="w" for="ch" forName="circle2" refType="h" refFor="ch" refForName="circle2" op="equ"/>
              <dgm:constr type="wOff" for="ch" forName="circle2" refType="hOff" refFor="ch" refForName="circle2" op="equ"/>
              <dgm:constr type="b" for="ch" forName="circle2" refType="t" refFor="ch" refForName="vertSpace2"/>
              <dgm:constr type="l" for="ch" forName="rect2" refType="r" refFor="ch" refForName="space"/>
              <dgm:constr type="r" for="ch" forName="rect2" refType="w"/>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l" refFor="ch" refForName="space"/>
              <dgm:constr type="h" for="ch" forName="circle3" refType="h" refFor="ch" refForName="circle1" fact="0.5"/>
              <dgm:constr type="hOff" for="ch" forName="circle3" refType="h" refFor="ch" refForName="vertSpace2" fact="-0.5"/>
              <dgm:constr type="w" for="ch" forName="circle3" refType="h" refFor="ch" refForName="circle3" op="equ"/>
              <dgm:constr type="wOff" for="ch" forName="circle3" refType="hOff" refFor="ch" refForName="circle3" op="equ"/>
              <dgm:constr type="b" for="ch" forName="circle3" refType="t" refFor="ch" refForName="vertSpace3"/>
              <dgm:constr type="l" for="ch" forName="rect3" refType="r" refFor="ch" refForName="space"/>
              <dgm:constr type="r" for="ch" forName="rect3" refType="w"/>
              <dgm:constr type="h" for="ch" forName="rect3" refType="h" refFor="ch" refForName="circle3"/>
              <dgm:constr type="hOff" for="ch" forName="rect3" refType="hOff" refFor="ch" refForName="circle3"/>
              <dgm:constr type="b" for="ch" forName="rect3" refType="b" refFor="ch" refForName="circle3"/>
              <dgm:constr type="l" for="ch" forName="vertSpace4"/>
              <dgm:constr type="w" for="ch" forName="vertSpace4" refType="w"/>
              <dgm:constr type="h" for="ch" forName="vertSpace4" refType="h" refFor="ch" refForName="vertSpace3"/>
              <dgm:constr type="b" for="ch" forName="vertSpace4" refType="t" refFor="ch" refForName="vertSpace3"/>
              <dgm:constr type="ctrX" for="ch" forName="circle4" refType="l" refFor="ch" refForName="space"/>
              <dgm:constr type="h" for="ch" forName="circle4" refType="h" refFor="ch" refForName="circle1" fact="0.25"/>
              <dgm:constr type="hOff" for="ch" forName="circle4" refType="h" refFor="ch" refForName="vertSpace2" fact="-0.75"/>
              <dgm:constr type="w" for="ch" forName="circle4" refType="h" refFor="ch" refForName="circle4" op="equ"/>
              <dgm:constr type="wOff" for="ch" forName="circle4" refType="hOff" refFor="ch" refForName="circle4" op="equ"/>
              <dgm:constr type="b" for="ch" forName="circle4" refType="t" refFor="ch" refForName="vertSpace4"/>
              <dgm:constr type="l" for="ch" forName="rect4" refType="r" refFor="ch" refForName="space"/>
              <dgm:constr type="r" for="ch" forName="rect4" refType="w"/>
              <dgm:constr type="h" for="ch" forName="rect4" refType="h" refFor="ch" refForName="circle4"/>
              <dgm:constr type="hOff" for="ch" forName="rect4" refType="hOff" refFor="ch" refForName="circle4"/>
              <dgm:constr type="b" for="ch" forName="rect4" refType="b" refFor="ch" refForName="circle4"/>
              <dgm:constr type="l" for="ch" forName="rect4ParTx" refType="r" refFor="ch" refForName="space"/>
              <dgm:constr type="w" for="ch" forName="rect4ParTx" refType="w" refFor="ch" refForName="rect4" fact="0.5"/>
              <dgm:constr type="t" for="ch" forName="rect4ParTx" refType="t" refFor="ch" refForName="rect4"/>
              <dgm:constr type="b" for="ch" forName="rect4ParTx" refType="b" refFor="ch" refForName="rect4"/>
              <dgm:constr type="l" for="ch" forName="rect4ChTx" refType="r" refFor="ch" refForName="rect4ParTx"/>
              <dgm:constr type="w" for="ch" forName="rect4ChTx" refType="w" refFor="ch" refForName="rect4ParTx"/>
              <dgm:constr type="t" for="ch" forName="rect4ChTx" refType="t" refFor="ch" refForName="rect4ParTx"/>
              <dgm:constr type="b" for="ch" forName="rect4ChTx" refType="b" refFor="ch" refForName="rect4ParTx"/>
              <dgm:constr type="l" for="ch" forName="rect4ParTxNoCh" refType="r" refFor="ch" refForName="space"/>
              <dgm:constr type="w" for="ch" forName="rect4ParTxNoCh" refType="w" refFor="ch" refForName="rect4"/>
              <dgm:constr type="t" for="ch" forName="rect4ParTxNoCh" refType="t" refFor="ch" refForName="rect4"/>
              <dgm:constr type="b" for="ch" forName="rect4ParTxNoCh" refType="b" refFor="ch" refForName="rect4"/>
              <dgm:constr type="l" for="ch" forName="rect1ParTx" refType="r" refFor="ch" refForName="space"/>
              <dgm:constr type="w" for="ch" forName="rect1ParTx" refType="w" refFor="ch" refForName="rect1" fact="0.5"/>
              <dgm:constr type="t" for="ch" forName="rect1ParTx" refType="t" refFor="ch" refForName="rect1"/>
              <dgm:constr type="b" for="ch" forName="rect1ParTx" refType="t" refFor="ch" refForName="rect2"/>
              <dgm:constr type="l" for="ch" forName="rect1ChTx" refType="r" refFor="ch" refForName="rect1ParTx"/>
              <dgm:constr type="w" for="ch" forName="rect1ChTx" refType="w" refFor="ch" refForName="rect1ParTx"/>
              <dgm:constr type="t" for="ch" forName="rect1ChTx" refType="t" refFor="ch" refForName="rect1ParTx"/>
              <dgm:constr type="b" for="ch" forName="rect1ChTx" refType="b" refFor="ch" refForName="rect1ParTx"/>
              <dgm:constr type="l" for="ch" forName="rect1ParTxNoCh" refType="r" refFor="ch" refForName="space"/>
              <dgm:constr type="w" for="ch" forName="rect1ParTxNoCh" refType="w" refFor="ch" refForName="rect1"/>
              <dgm:constr type="t" for="ch" forName="rect1ParTxNoCh" refType="t" refFor="ch" refForName="rect1"/>
              <dgm:constr type="b" for="ch" forName="rect1ParTxNoCh" refType="t" refFor="ch" refForName="rect2"/>
              <dgm:constr type="l" for="ch" forName="rect2ParTx" refType="r" refFor="ch" refForName="space"/>
              <dgm:constr type="w" for="ch" forName="rect2ParTx" refType="w" refFor="ch" refForName="rect2" fact="0.5"/>
              <dgm:constr type="t" for="ch" forName="rect2ParTx" refType="t" refFor="ch" refForName="rect2"/>
              <dgm:constr type="b" for="ch" forName="rect2ParTx" refType="t" refFor="ch" refForName="rect3"/>
              <dgm:constr type="l" for="ch" forName="rect2ChTx" refType="r" refFor="ch" refForName="rect2ParTx"/>
              <dgm:constr type="w" for="ch" forName="rect2ChTx" refType="w" refFor="ch" refForName="rect2ParTx"/>
              <dgm:constr type="t" for="ch" forName="rect2ChTx" refType="t" refFor="ch" refForName="rect2ParTx"/>
              <dgm:constr type="b" for="ch" forName="rect2ChTx" refType="b" refFor="ch" refForName="rect2ParTx"/>
              <dgm:constr type="l" for="ch" forName="rect2ParTxNoCh" refType="r" refFor="ch" refForName="space"/>
              <dgm:constr type="w" for="ch" forName="rect2ParTxNoCh" refType="w" refFor="ch" refForName="rect2"/>
              <dgm:constr type="t" for="ch" forName="rect2ParTxNoCh" refType="t" refFor="ch" refForName="rect2"/>
              <dgm:constr type="b" for="ch" forName="rect2ParTxNoCh" refType="t" refFor="ch" refForName="rect3"/>
              <dgm:constr type="l" for="ch" forName="rect3ParTx" refType="r" refFor="ch" refForName="space"/>
              <dgm:constr type="w" for="ch" forName="rect3ParTx" refType="w" refFor="ch" refForName="rect3" fact="0.5"/>
              <dgm:constr type="t" for="ch" forName="rect3ParTx" refType="t" refFor="ch" refForName="rect3"/>
              <dgm:constr type="b" for="ch" forName="rect3ParTx" refType="t" refFor="ch" refForName="rect4"/>
              <dgm:constr type="l" for="ch" forName="rect3ChTx" refType="r" refFor="ch" refForName="rect3ParTx"/>
              <dgm:constr type="w" for="ch" forName="rect3ChTx" refType="w" refFor="ch" refForName="rect3ParTx"/>
              <dgm:constr type="t" for="ch" forName="rect3ChTx" refType="t" refFor="ch" refForName="rect3ParTx"/>
              <dgm:constr type="b" for="ch" forName="rect3ChTx" refType="b" refFor="ch" refForName="rect3ParTx"/>
              <dgm:constr type="l" for="ch" forName="rect3ParTxNoCh" refType="r" refFor="ch" refForName="space"/>
              <dgm:constr type="w" for="ch" forName="rect3ParTxNoCh" refType="w" refFor="ch" refForName="rect3"/>
              <dgm:constr type="t" for="ch" forName="rect3ParTxNoCh" refType="t" refFor="ch" refForName="rect3"/>
              <dgm:constr type="b" for="ch" forName="rect3ParTxNoCh" refType="t" refFor="ch" refForName="rect4"/>
              <dgm:constr type="primFontSz" for="ch" op="equ" val="65"/>
              <dgm:constr type="secFontSz" for="ch" op="equ" val="65"/>
            </dgm:constrLst>
          </dgm:if>
          <dgm:if name="Name8" axis="ch" ptType="node" func="cnt" op="equ" val="5">
            <dgm:constrLst>
              <dgm:constr type="userA" refType="w" fact="0.3"/>
              <dgm:constr type="w" for="ch" forName="circle1" refType="userA" fact="2"/>
              <dgm:constr type="h" for="ch" forName="circle1" refType="w" refFor="ch" refForName="circle1" op="equ"/>
              <dgm:constr type="l" for="ch" forName="circle1"/>
              <dgm:constr type="ctrY" for="ch" forName="circle1" refType="h" fact="0.5"/>
              <dgm:constr type="l" for="ch" forName="space" refType="ctrX" refFor="ch" refForName="circle1"/>
              <dgm:constr type="w" for="ch" forName="space"/>
              <dgm:constr type="h" for="ch" forName="space" refType="h" refFor="ch" refForName="circle1"/>
              <dgm:constr type="b" for="ch" forName="space" refType="b" refFor="ch" refForName="circle1"/>
              <dgm:constr type="l" for="ch" forName="rect1" refType="r" refFor="ch" refForName="space"/>
              <dgm:constr type="r" for="ch" forName="rect1" refType="w"/>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l" refFor="ch" refForName="space"/>
              <dgm:constr type="h" for="ch" forName="circle2" refType="h" refFor="ch" refForName="circle1" fact="0.8"/>
              <dgm:constr type="hOff" for="ch" forName="circle2" refType="h" refFor="ch" refForName="vertSpace2" fact="-0.2"/>
              <dgm:constr type="w" for="ch" forName="circle2" refType="h" refFor="ch" refForName="circle2" op="equ"/>
              <dgm:constr type="wOff" for="ch" forName="circle2" refType="hOff" refFor="ch" refForName="circle2" op="equ"/>
              <dgm:constr type="b" for="ch" forName="circle2" refType="t" refFor="ch" refForName="vertSpace2"/>
              <dgm:constr type="l" for="ch" forName="rect2" refType="r" refFor="ch" refForName="space"/>
              <dgm:constr type="r" for="ch" forName="rect2" refType="w"/>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l" refFor="ch" refForName="space"/>
              <dgm:constr type="h" for="ch" forName="circle3" refType="h" refFor="ch" refForName="circle1" fact="0.6"/>
              <dgm:constr type="hOff" for="ch" forName="circle3" refType="h" refFor="ch" refForName="vertSpace2" fact="-0.4"/>
              <dgm:constr type="w" for="ch" forName="circle3" refType="h" refFor="ch" refForName="circle3" op="equ"/>
              <dgm:constr type="wOff" for="ch" forName="circle3" refType="hOff" refFor="ch" refForName="circle3" op="equ"/>
              <dgm:constr type="b" for="ch" forName="circle3" refType="t" refFor="ch" refForName="vertSpace3"/>
              <dgm:constr type="l" for="ch" forName="rect3" refType="r" refFor="ch" refForName="space"/>
              <dgm:constr type="r" for="ch" forName="rect3" refType="w"/>
              <dgm:constr type="h" for="ch" forName="rect3" refType="h" refFor="ch" refForName="circle3"/>
              <dgm:constr type="hOff" for="ch" forName="rect3" refType="hOff" refFor="ch" refForName="circle3"/>
              <dgm:constr type="b" for="ch" forName="rect3" refType="b" refFor="ch" refForName="circle3"/>
              <dgm:constr type="l" for="ch" forName="vertSpace4"/>
              <dgm:constr type="w" for="ch" forName="vertSpace4" refType="w"/>
              <dgm:constr type="h" for="ch" forName="vertSpace4" refType="h" refFor="ch" refForName="vertSpace3"/>
              <dgm:constr type="b" for="ch" forName="vertSpace4" refType="t" refFor="ch" refForName="vertSpace3"/>
              <dgm:constr type="ctrX" for="ch" forName="circle4" refType="l" refFor="ch" refForName="space"/>
              <dgm:constr type="h" for="ch" forName="circle4" refType="h" refFor="ch" refForName="circle1" fact="0.4"/>
              <dgm:constr type="hOff" for="ch" forName="circle4" refType="h" refFor="ch" refForName="vertSpace2" fact="-0.6"/>
              <dgm:constr type="w" for="ch" forName="circle4" refType="h" refFor="ch" refForName="circle4" op="equ"/>
              <dgm:constr type="wOff" for="ch" forName="circle4" refType="hOff" refFor="ch" refForName="circle4" op="equ"/>
              <dgm:constr type="b" for="ch" forName="circle4" refType="t" refFor="ch" refForName="vertSpace4"/>
              <dgm:constr type="l" for="ch" forName="rect4" refType="r" refFor="ch" refForName="space"/>
              <dgm:constr type="r" for="ch" forName="rect4" refType="w"/>
              <dgm:constr type="h" for="ch" forName="rect4" refType="h" refFor="ch" refForName="circle4"/>
              <dgm:constr type="hOff" for="ch" forName="rect4" refType="hOff" refFor="ch" refForName="circle4"/>
              <dgm:constr type="b" for="ch" forName="rect4" refType="b" refFor="ch" refForName="circle4"/>
              <dgm:constr type="l" for="ch" forName="vertSpace5"/>
              <dgm:constr type="w" for="ch" forName="vertSpace5" refType="w"/>
              <dgm:constr type="h" for="ch" forName="vertSpace5" refType="h" refFor="ch" refForName="vertSpace4"/>
              <dgm:constr type="b" for="ch" forName="vertSpace5" refType="t" refFor="ch" refForName="vertSpace4"/>
              <dgm:constr type="ctrX" for="ch" forName="circle5" refType="l" refFor="ch" refForName="space"/>
              <dgm:constr type="h" for="ch" forName="circle5" refType="h" refFor="ch" refForName="circle1" fact="0.2"/>
              <dgm:constr type="hOff" for="ch" forName="circle5" refType="h" refFor="ch" refForName="vertSpace2" fact="-0.8"/>
              <dgm:constr type="w" for="ch" forName="circle5" refType="h" refFor="ch" refForName="circle5" op="equ"/>
              <dgm:constr type="wOff" for="ch" forName="circle5" refType="hOff" refFor="ch" refForName="circle5" op="equ"/>
              <dgm:constr type="b" for="ch" forName="circle5" refType="t" refFor="ch" refForName="vertSpace5"/>
              <dgm:constr type="l" for="ch" forName="rect5" refType="r" refFor="ch" refForName="space"/>
              <dgm:constr type="r" for="ch" forName="rect5" refType="w"/>
              <dgm:constr type="h" for="ch" forName="rect5" refType="h" refFor="ch" refForName="circle5"/>
              <dgm:constr type="hOff" for="ch" forName="rect5" refType="hOff" refFor="ch" refForName="circle5"/>
              <dgm:constr type="b" for="ch" forName="rect5" refType="b" refFor="ch" refForName="circle5"/>
              <dgm:constr type="l" for="ch" forName="rect5ParTx" refType="r" refFor="ch" refForName="space"/>
              <dgm:constr type="w" for="ch" forName="rect5ParTx" refType="w" refFor="ch" refForName="rect5" fact="0.5"/>
              <dgm:constr type="t" for="ch" forName="rect5ParTx" refType="t" refFor="ch" refForName="rect5"/>
              <dgm:constr type="b" for="ch" forName="rect5ParTx" refType="b" refFor="ch" refForName="rect5"/>
              <dgm:constr type="l" for="ch" forName="rect5ChTx" refType="r" refFor="ch" refForName="rect5ParTx"/>
              <dgm:constr type="w" for="ch" forName="rect5ChTx" refType="w" refFor="ch" refForName="rect5ParTx"/>
              <dgm:constr type="t" for="ch" forName="rect5ChTx" refType="t" refFor="ch" refForName="rect5ParTx"/>
              <dgm:constr type="b" for="ch" forName="rect5ChTx" refType="b" refFor="ch" refForName="rect5ParTx"/>
              <dgm:constr type="l" for="ch" forName="rect5ParTxNoCh" refType="r" refFor="ch" refForName="space"/>
              <dgm:constr type="w" for="ch" forName="rect5ParTxNoCh" refType="w" refFor="ch" refForName="rect5"/>
              <dgm:constr type="t" for="ch" forName="rect5ParTxNoCh" refType="t" refFor="ch" refForName="rect5"/>
              <dgm:constr type="b" for="ch" forName="rect5ParTxNoCh" refType="b" refFor="ch" refForName="rect5"/>
              <dgm:constr type="l" for="ch" forName="rect1ParTx" refType="r" refFor="ch" refForName="space"/>
              <dgm:constr type="w" for="ch" forName="rect1ParTx" refType="w" refFor="ch" refForName="rect1" fact="0.5"/>
              <dgm:constr type="t" for="ch" forName="rect1ParTx" refType="t" refFor="ch" refForName="rect1"/>
              <dgm:constr type="b" for="ch" forName="rect1ParTx" refType="t" refFor="ch" refForName="rect2"/>
              <dgm:constr type="l" for="ch" forName="rect1ChTx" refType="r" refFor="ch" refForName="rect1ParTx"/>
              <dgm:constr type="w" for="ch" forName="rect1ChTx" refType="w" refFor="ch" refForName="rect1ParTx"/>
              <dgm:constr type="t" for="ch" forName="rect1ChTx" refType="t" refFor="ch" refForName="rect1ParTx"/>
              <dgm:constr type="b" for="ch" forName="rect1ChTx" refType="b" refFor="ch" refForName="rect1ParTx"/>
              <dgm:constr type="l" for="ch" forName="rect1ParTxNoCh" refType="r" refFor="ch" refForName="space"/>
              <dgm:constr type="w" for="ch" forName="rect1ParTxNoCh" refType="w" refFor="ch" refForName="rect1"/>
              <dgm:constr type="t" for="ch" forName="rect1ParTxNoCh" refType="t" refFor="ch" refForName="rect1"/>
              <dgm:constr type="b" for="ch" forName="rect1ParTxNoCh" refType="t" refFor="ch" refForName="rect2"/>
              <dgm:constr type="l" for="ch" forName="rect2ParTx" refType="r" refFor="ch" refForName="space"/>
              <dgm:constr type="w" for="ch" forName="rect2ParTx" refType="w" refFor="ch" refForName="rect2" fact="0.5"/>
              <dgm:constr type="t" for="ch" forName="rect2ParTx" refType="t" refFor="ch" refForName="rect2"/>
              <dgm:constr type="b" for="ch" forName="rect2ParTx" refType="t" refFor="ch" refForName="rect3"/>
              <dgm:constr type="l" for="ch" forName="rect2ChTx" refType="r" refFor="ch" refForName="rect2ParTx"/>
              <dgm:constr type="w" for="ch" forName="rect2ChTx" refType="w" refFor="ch" refForName="rect2ParTx"/>
              <dgm:constr type="t" for="ch" forName="rect2ChTx" refType="t" refFor="ch" refForName="rect2ParTx"/>
              <dgm:constr type="b" for="ch" forName="rect2ChTx" refType="b" refFor="ch" refForName="rect2ParTx"/>
              <dgm:constr type="l" for="ch" forName="rect2ParTxNoCh" refType="r" refFor="ch" refForName="space"/>
              <dgm:constr type="w" for="ch" forName="rect2ParTxNoCh" refType="w" refFor="ch" refForName="rect2"/>
              <dgm:constr type="t" for="ch" forName="rect2ParTxNoCh" refType="t" refFor="ch" refForName="rect2"/>
              <dgm:constr type="b" for="ch" forName="rect2ParTxNoCh" refType="t" refFor="ch" refForName="rect3"/>
              <dgm:constr type="l" for="ch" forName="rect3ParTx" refType="r" refFor="ch" refForName="space"/>
              <dgm:constr type="w" for="ch" forName="rect3ParTx" refType="w" refFor="ch" refForName="rect3" fact="0.5"/>
              <dgm:constr type="t" for="ch" forName="rect3ParTx" refType="t" refFor="ch" refForName="rect3"/>
              <dgm:constr type="b" for="ch" forName="rect3ParTx" refType="t" refFor="ch" refForName="rect4"/>
              <dgm:constr type="l" for="ch" forName="rect3ChTx" refType="r" refFor="ch" refForName="rect3ParTx"/>
              <dgm:constr type="w" for="ch" forName="rect3ChTx" refType="w" refFor="ch" refForName="rect3ParTx"/>
              <dgm:constr type="t" for="ch" forName="rect3ChTx" refType="t" refFor="ch" refForName="rect3ParTx"/>
              <dgm:constr type="b" for="ch" forName="rect3ChTx" refType="b" refFor="ch" refForName="rect3ParTx"/>
              <dgm:constr type="l" for="ch" forName="rect3ParTxNoCh" refType="r" refFor="ch" refForName="space"/>
              <dgm:constr type="w" for="ch" forName="rect3ParTxNoCh" refType="w" refFor="ch" refForName="rect3"/>
              <dgm:constr type="t" for="ch" forName="rect3ParTxNoCh" refType="t" refFor="ch" refForName="rect3"/>
              <dgm:constr type="b" for="ch" forName="rect3ParTxNoCh" refType="t" refFor="ch" refForName="rect4"/>
              <dgm:constr type="l" for="ch" forName="rect4ParTx" refType="r" refFor="ch" refForName="space"/>
              <dgm:constr type="w" for="ch" forName="rect4ParTx" refType="w" refFor="ch" refForName="rect4" fact="0.5"/>
              <dgm:constr type="t" for="ch" forName="rect4ParTx" refType="t" refFor="ch" refForName="rect4"/>
              <dgm:constr type="b" for="ch" forName="rect4ParTx" refType="t" refFor="ch" refForName="rect5"/>
              <dgm:constr type="l" for="ch" forName="rect4ChTx" refType="r" refFor="ch" refForName="rect4ParTx"/>
              <dgm:constr type="w" for="ch" forName="rect4ChTx" refType="w" refFor="ch" refForName="rect4ParTx"/>
              <dgm:constr type="t" for="ch" forName="rect4ChTx" refType="t" refFor="ch" refForName="rect4ParTx"/>
              <dgm:constr type="b" for="ch" forName="rect4ChTx" refType="b" refFor="ch" refForName="rect4ParTx"/>
              <dgm:constr type="l" for="ch" forName="rect4ParTxNoCh" refType="r" refFor="ch" refForName="space"/>
              <dgm:constr type="w" for="ch" forName="rect4ParTxNoCh" refType="w" refFor="ch" refForName="rect4"/>
              <dgm:constr type="t" for="ch" forName="rect4ParTxNoCh" refType="t" refFor="ch" refForName="rect4"/>
              <dgm:constr type="b" for="ch" forName="rect4ParTxNoCh" refType="t" refFor="ch" refForName="rect5"/>
              <dgm:constr type="primFontSz" for="ch" op="equ" val="65"/>
              <dgm:constr type="secFontSz" for="ch" op="equ" val="65"/>
            </dgm:constrLst>
          </dgm:if>
          <dgm:if name="Name9" axis="ch" ptType="node" func="cnt" op="equ" val="6">
            <dgm:constrLst>
              <dgm:constr type="userA" refType="w" fact="0.3"/>
              <dgm:constr type="w" for="ch" forName="circle1" refType="userA" fact="2"/>
              <dgm:constr type="h" for="ch" forName="circle1" refType="w" refFor="ch" refForName="circle1" op="equ"/>
              <dgm:constr type="l" for="ch" forName="circle1"/>
              <dgm:constr type="ctrY" for="ch" forName="circle1" refType="h" fact="0.5"/>
              <dgm:constr type="l" for="ch" forName="space" refType="ctrX" refFor="ch" refForName="circle1"/>
              <dgm:constr type="w" for="ch" forName="space"/>
              <dgm:constr type="h" for="ch" forName="space" refType="h" refFor="ch" refForName="circle1"/>
              <dgm:constr type="b" for="ch" forName="space" refType="b" refFor="ch" refForName="circle1"/>
              <dgm:constr type="l" for="ch" forName="rect1" refType="r" refFor="ch" refForName="space"/>
              <dgm:constr type="r" for="ch" forName="rect1" refType="w"/>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l" refFor="ch" refForName="space"/>
              <dgm:constr type="h" for="ch" forName="circle2" refType="h" refFor="ch" refForName="circle1" fact="0.83333"/>
              <dgm:constr type="hOff" for="ch" forName="circle2" refType="h" refFor="ch" refForName="vertSpace2" fact="-0.16667"/>
              <dgm:constr type="w" for="ch" forName="circle2" refType="h" refFor="ch" refForName="circle2" op="equ"/>
              <dgm:constr type="wOff" for="ch" forName="circle2" refType="hOff" refFor="ch" refForName="circle2" op="equ"/>
              <dgm:constr type="b" for="ch" forName="circle2" refType="t" refFor="ch" refForName="vertSpace2"/>
              <dgm:constr type="l" for="ch" forName="rect2" refType="r" refFor="ch" refForName="space"/>
              <dgm:constr type="r" for="ch" forName="rect2" refType="w"/>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l" refFor="ch" refForName="space"/>
              <dgm:constr type="h" for="ch" forName="circle3" refType="h" refFor="ch" refForName="circle1" fact="0.66667"/>
              <dgm:constr type="hOff" for="ch" forName="circle3" refType="h" refFor="ch" refForName="vertSpace2" fact="-0.33333"/>
              <dgm:constr type="w" for="ch" forName="circle3" refType="h" refFor="ch" refForName="circle3" op="equ"/>
              <dgm:constr type="wOff" for="ch" forName="circle3" refType="hOff" refFor="ch" refForName="circle3" op="equ"/>
              <dgm:constr type="b" for="ch" forName="circle3" refType="t" refFor="ch" refForName="vertSpace3"/>
              <dgm:constr type="l" for="ch" forName="rect3" refType="r" refFor="ch" refForName="space"/>
              <dgm:constr type="r" for="ch" forName="rect3" refType="w"/>
              <dgm:constr type="h" for="ch" forName="rect3" refType="h" refFor="ch" refForName="circle3"/>
              <dgm:constr type="hOff" for="ch" forName="rect3" refType="hOff" refFor="ch" refForName="circle3"/>
              <dgm:constr type="b" for="ch" forName="rect3" refType="b" refFor="ch" refForName="circle3"/>
              <dgm:constr type="l" for="ch" forName="vertSpace4"/>
              <dgm:constr type="w" for="ch" forName="vertSpace4" refType="w"/>
              <dgm:constr type="h" for="ch" forName="vertSpace4" refType="h" refFor="ch" refForName="vertSpace3"/>
              <dgm:constr type="b" for="ch" forName="vertSpace4" refType="t" refFor="ch" refForName="vertSpace3"/>
              <dgm:constr type="ctrX" for="ch" forName="circle4" refType="l" refFor="ch" refForName="space"/>
              <dgm:constr type="h" for="ch" forName="circle4" refType="h" refFor="ch" refForName="circle1" fact="0.5"/>
              <dgm:constr type="hOff" for="ch" forName="circle4" refType="h" refFor="ch" refForName="vertSpace2" fact="-0.5"/>
              <dgm:constr type="w" for="ch" forName="circle4" refType="h" refFor="ch" refForName="circle4" op="equ"/>
              <dgm:constr type="wOff" for="ch" forName="circle4" refType="hOff" refFor="ch" refForName="circle4" op="equ"/>
              <dgm:constr type="b" for="ch" forName="circle4" refType="t" refFor="ch" refForName="vertSpace4"/>
              <dgm:constr type="l" for="ch" forName="rect4" refType="r" refFor="ch" refForName="space"/>
              <dgm:constr type="r" for="ch" forName="rect4" refType="w"/>
              <dgm:constr type="h" for="ch" forName="rect4" refType="h" refFor="ch" refForName="circle4"/>
              <dgm:constr type="hOff" for="ch" forName="rect4" refType="hOff" refFor="ch" refForName="circle4"/>
              <dgm:constr type="b" for="ch" forName="rect4" refType="b" refFor="ch" refForName="circle4"/>
              <dgm:constr type="l" for="ch" forName="vertSpace5"/>
              <dgm:constr type="w" for="ch" forName="vertSpace5" refType="w"/>
              <dgm:constr type="h" for="ch" forName="vertSpace5" refType="h" refFor="ch" refForName="vertSpace4"/>
              <dgm:constr type="b" for="ch" forName="vertSpace5" refType="t" refFor="ch" refForName="vertSpace4"/>
              <dgm:constr type="ctrX" for="ch" forName="circle5" refType="l" refFor="ch" refForName="space"/>
              <dgm:constr type="h" for="ch" forName="circle5" refType="h" refFor="ch" refForName="circle1" fact="0.33333"/>
              <dgm:constr type="hOff" for="ch" forName="circle5" refType="h" refFor="ch" refForName="vertSpace2" fact="-0.66667"/>
              <dgm:constr type="w" for="ch" forName="circle5" refType="h" refFor="ch" refForName="circle5" op="equ"/>
              <dgm:constr type="wOff" for="ch" forName="circle5" refType="hOff" refFor="ch" refForName="circle5" op="equ"/>
              <dgm:constr type="b" for="ch" forName="circle5" refType="t" refFor="ch" refForName="vertSpace5"/>
              <dgm:constr type="l" for="ch" forName="rect5" refType="r" refFor="ch" refForName="space"/>
              <dgm:constr type="r" for="ch" forName="rect5" refType="w"/>
              <dgm:constr type="h" for="ch" forName="rect5" refType="h" refFor="ch" refForName="circle5"/>
              <dgm:constr type="hOff" for="ch" forName="rect5" refType="hOff" refFor="ch" refForName="circle5"/>
              <dgm:constr type="b" for="ch" forName="rect5" refType="b" refFor="ch" refForName="circle5"/>
              <dgm:constr type="l" for="ch" forName="vertSpace6"/>
              <dgm:constr type="w" for="ch" forName="vertSpace6" refType="w"/>
              <dgm:constr type="h" for="ch" forName="vertSpace6" refType="h" refFor="ch" refForName="vertSpace5"/>
              <dgm:constr type="b" for="ch" forName="vertSpace6" refType="t" refFor="ch" refForName="vertSpace5"/>
              <dgm:constr type="ctrX" for="ch" forName="circle6" refType="l" refFor="ch" refForName="space"/>
              <dgm:constr type="h" for="ch" forName="circle6" refType="h" refFor="ch" refForName="circle1" fact="0.16667"/>
              <dgm:constr type="hOff" for="ch" forName="circle6" refType="h" refFor="ch" refForName="vertSpace2" fact="-0.83333"/>
              <dgm:constr type="w" for="ch" forName="circle6" refType="h" refFor="ch" refForName="circle6" op="equ"/>
              <dgm:constr type="wOff" for="ch" forName="circle6" refType="hOff" refFor="ch" refForName="circle6" op="equ"/>
              <dgm:constr type="b" for="ch" forName="circle6" refType="t" refFor="ch" refForName="vertSpace6"/>
              <dgm:constr type="l" for="ch" forName="rect6" refType="r" refFor="ch" refForName="space"/>
              <dgm:constr type="r" for="ch" forName="rect6" refType="w"/>
              <dgm:constr type="h" for="ch" forName="rect6" refType="h" refFor="ch" refForName="circle6"/>
              <dgm:constr type="hOff" for="ch" forName="rect6" refType="hOff" refFor="ch" refForName="circle6"/>
              <dgm:constr type="b" for="ch" forName="rect6" refType="b" refFor="ch" refForName="circle6"/>
              <dgm:constr type="l" for="ch" forName="rect6ParTx" refType="r" refFor="ch" refForName="space"/>
              <dgm:constr type="w" for="ch" forName="rect6ParTx" refType="w" refFor="ch" refForName="rect6" fact="0.5"/>
              <dgm:constr type="t" for="ch" forName="rect6ParTx" refType="t" refFor="ch" refForName="rect6"/>
              <dgm:constr type="b" for="ch" forName="rect6ParTx" refType="b" refFor="ch" refForName="rect6"/>
              <dgm:constr type="l" for="ch" forName="rect6ChTx" refType="r" refFor="ch" refForName="rect6ParTx"/>
              <dgm:constr type="w" for="ch" forName="rect6ChTx" refType="w" refFor="ch" refForName="rect6ParTx"/>
              <dgm:constr type="t" for="ch" forName="rect6ChTx" refType="t" refFor="ch" refForName="rect6ParTx"/>
              <dgm:constr type="b" for="ch" forName="rect6ChTx" refType="b" refFor="ch" refForName="rect6ParTx"/>
              <dgm:constr type="l" for="ch" forName="rect6ParTxNoCh" refType="r" refFor="ch" refForName="space"/>
              <dgm:constr type="w" for="ch" forName="rect6ParTxNoCh" refType="w" refFor="ch" refForName="rect6"/>
              <dgm:constr type="t" for="ch" forName="rect6ParTxNoCh" refType="t" refFor="ch" refForName="rect6"/>
              <dgm:constr type="b" for="ch" forName="rect6ParTxNoCh" refType="b" refFor="ch" refForName="rect6"/>
              <dgm:constr type="l" for="ch" forName="rect1ParTx" refType="r" refFor="ch" refForName="space"/>
              <dgm:constr type="w" for="ch" forName="rect1ParTx" refType="w" refFor="ch" refForName="rect1" fact="0.5"/>
              <dgm:constr type="t" for="ch" forName="rect1ParTx" refType="t" refFor="ch" refForName="rect1"/>
              <dgm:constr type="b" for="ch" forName="rect1ParTx" refType="t" refFor="ch" refForName="rect2"/>
              <dgm:constr type="l" for="ch" forName="rect1ChTx" refType="r" refFor="ch" refForName="rect1ParTx"/>
              <dgm:constr type="w" for="ch" forName="rect1ChTx" refType="w" refFor="ch" refForName="rect1ParTx"/>
              <dgm:constr type="t" for="ch" forName="rect1ChTx" refType="t" refFor="ch" refForName="rect1ParTx"/>
              <dgm:constr type="b" for="ch" forName="rect1ChTx" refType="b" refFor="ch" refForName="rect1ParTx"/>
              <dgm:constr type="l" for="ch" forName="rect1ParTxNoCh" refType="r" refFor="ch" refForName="space"/>
              <dgm:constr type="w" for="ch" forName="rect1ParTxNoCh" refType="w" refFor="ch" refForName="rect1"/>
              <dgm:constr type="t" for="ch" forName="rect1ParTxNoCh" refType="t" refFor="ch" refForName="rect1"/>
              <dgm:constr type="b" for="ch" forName="rect1ParTxNoCh" refType="t" refFor="ch" refForName="rect2"/>
              <dgm:constr type="l" for="ch" forName="rect2ParTx" refType="r" refFor="ch" refForName="space"/>
              <dgm:constr type="w" for="ch" forName="rect2ParTx" refType="w" refFor="ch" refForName="rect2" fact="0.5"/>
              <dgm:constr type="t" for="ch" forName="rect2ParTx" refType="t" refFor="ch" refForName="rect2"/>
              <dgm:constr type="b" for="ch" forName="rect2ParTx" refType="t" refFor="ch" refForName="rect3"/>
              <dgm:constr type="l" for="ch" forName="rect2ChTx" refType="r" refFor="ch" refForName="rect2ParTx"/>
              <dgm:constr type="w" for="ch" forName="rect2ChTx" refType="w" refFor="ch" refForName="rect2ParTx"/>
              <dgm:constr type="t" for="ch" forName="rect2ChTx" refType="t" refFor="ch" refForName="rect2ParTx"/>
              <dgm:constr type="b" for="ch" forName="rect2ChTx" refType="b" refFor="ch" refForName="rect2ParTx"/>
              <dgm:constr type="l" for="ch" forName="rect2ParTxNoCh" refType="r" refFor="ch" refForName="space"/>
              <dgm:constr type="w" for="ch" forName="rect2ParTxNoCh" refType="w" refFor="ch" refForName="rect2"/>
              <dgm:constr type="t" for="ch" forName="rect2ParTxNoCh" refType="t" refFor="ch" refForName="rect2"/>
              <dgm:constr type="b" for="ch" forName="rect2ParTxNoCh" refType="t" refFor="ch" refForName="rect3"/>
              <dgm:constr type="l" for="ch" forName="rect3ParTx" refType="r" refFor="ch" refForName="space"/>
              <dgm:constr type="w" for="ch" forName="rect3ParTx" refType="w" refFor="ch" refForName="rect3" fact="0.5"/>
              <dgm:constr type="t" for="ch" forName="rect3ParTx" refType="t" refFor="ch" refForName="rect3"/>
              <dgm:constr type="b" for="ch" forName="rect3ParTx" refType="t" refFor="ch" refForName="rect4"/>
              <dgm:constr type="l" for="ch" forName="rect3ChTx" refType="r" refFor="ch" refForName="rect3ParTx"/>
              <dgm:constr type="w" for="ch" forName="rect3ChTx" refType="w" refFor="ch" refForName="rect3ParTx"/>
              <dgm:constr type="t" for="ch" forName="rect3ChTx" refType="t" refFor="ch" refForName="rect3ParTx"/>
              <dgm:constr type="b" for="ch" forName="rect3ChTx" refType="b" refFor="ch" refForName="rect3ParTx"/>
              <dgm:constr type="l" for="ch" forName="rect3ParTxNoCh" refType="r" refFor="ch" refForName="space"/>
              <dgm:constr type="w" for="ch" forName="rect3ParTxNoCh" refType="w" refFor="ch" refForName="rect3"/>
              <dgm:constr type="t" for="ch" forName="rect3ParTxNoCh" refType="t" refFor="ch" refForName="rect3"/>
              <dgm:constr type="b" for="ch" forName="rect3ParTxNoCh" refType="t" refFor="ch" refForName="rect4"/>
              <dgm:constr type="l" for="ch" forName="rect4ParTx" refType="r" refFor="ch" refForName="space"/>
              <dgm:constr type="w" for="ch" forName="rect4ParTx" refType="w" refFor="ch" refForName="rect4" fact="0.5"/>
              <dgm:constr type="t" for="ch" forName="rect4ParTx" refType="t" refFor="ch" refForName="rect4"/>
              <dgm:constr type="b" for="ch" forName="rect4ParTx" refType="t" refFor="ch" refForName="rect5"/>
              <dgm:constr type="l" for="ch" forName="rect4ChTx" refType="r" refFor="ch" refForName="rect4ParTx"/>
              <dgm:constr type="w" for="ch" forName="rect4ChTx" refType="w" refFor="ch" refForName="rect4ParTx"/>
              <dgm:constr type="t" for="ch" forName="rect4ChTx" refType="t" refFor="ch" refForName="rect4ParTx"/>
              <dgm:constr type="b" for="ch" forName="rect4ChTx" refType="b" refFor="ch" refForName="rect4ParTx"/>
              <dgm:constr type="l" for="ch" forName="rect4ParTxNoCh" refType="r" refFor="ch" refForName="space"/>
              <dgm:constr type="w" for="ch" forName="rect4ParTxNoCh" refType="w" refFor="ch" refForName="rect4"/>
              <dgm:constr type="t" for="ch" forName="rect4ParTxNoCh" refType="t" refFor="ch" refForName="rect4"/>
              <dgm:constr type="b" for="ch" forName="rect4ParTxNoCh" refType="t" refFor="ch" refForName="rect5"/>
              <dgm:constr type="l" for="ch" forName="rect5ParTx" refType="r" refFor="ch" refForName="space"/>
              <dgm:constr type="w" for="ch" forName="rect5ParTx" refType="w" refFor="ch" refForName="rect5" fact="0.5"/>
              <dgm:constr type="t" for="ch" forName="rect5ParTx" refType="t" refFor="ch" refForName="rect5"/>
              <dgm:constr type="b" for="ch" forName="rect5ParTx" refType="t" refFor="ch" refForName="rect6"/>
              <dgm:constr type="l" for="ch" forName="rect5ChTx" refType="r" refFor="ch" refForName="rect5ParTx"/>
              <dgm:constr type="w" for="ch" forName="rect5ChTx" refType="w" refFor="ch" refForName="rect5ParTx"/>
              <dgm:constr type="t" for="ch" forName="rect5ChTx" refType="t" refFor="ch" refForName="rect5ParTx"/>
              <dgm:constr type="b" for="ch" forName="rect5ChTx" refType="b" refFor="ch" refForName="rect5ParTx"/>
              <dgm:constr type="l" for="ch" forName="rect5ParTxNoCh" refType="r" refFor="ch" refForName="space"/>
              <dgm:constr type="w" for="ch" forName="rect5ParTxNoCh" refType="w" refFor="ch" refForName="rect5"/>
              <dgm:constr type="t" for="ch" forName="rect5ParTxNoCh" refType="t" refFor="ch" refForName="rect5"/>
              <dgm:constr type="b" for="ch" forName="rect5ParTxNoCh" refType="t" refFor="ch" refForName="rect6"/>
              <dgm:constr type="primFontSz" for="ch" op="equ" val="65"/>
              <dgm:constr type="secFontSz" for="ch" op="equ" val="65"/>
            </dgm:constrLst>
          </dgm:if>
          <dgm:if name="Name10" axis="ch" ptType="node" func="cnt" op="gte" val="7">
            <dgm:constrLst>
              <dgm:constr type="userA" refType="w" fact="0.3"/>
              <dgm:constr type="w" for="ch" forName="circle1" refType="userA" fact="2"/>
              <dgm:constr type="h" for="ch" forName="circle1" refType="w" refFor="ch" refForName="circle1" op="equ"/>
              <dgm:constr type="l" for="ch" forName="circle1"/>
              <dgm:constr type="ctrY" for="ch" forName="circle1" refType="h" fact="0.5"/>
              <dgm:constr type="l" for="ch" forName="space" refType="ctrX" refFor="ch" refForName="circle1"/>
              <dgm:constr type="w" for="ch" forName="space"/>
              <dgm:constr type="h" for="ch" forName="space" refType="h" refFor="ch" refForName="circle1"/>
              <dgm:constr type="b" for="ch" forName="space" refType="b" refFor="ch" refForName="circle1"/>
              <dgm:constr type="l" for="ch" forName="rect1" refType="r" refFor="ch" refForName="space"/>
              <dgm:constr type="r" for="ch" forName="rect1" refType="w"/>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l" refFor="ch" refForName="space"/>
              <dgm:constr type="h" for="ch" forName="circle2" refType="h" refFor="ch" refForName="circle1" fact="0.85714"/>
              <dgm:constr type="hOff" for="ch" forName="circle2" refType="h" refFor="ch" refForName="vertSpace2" fact="-0.14286"/>
              <dgm:constr type="w" for="ch" forName="circle2" refType="h" refFor="ch" refForName="circle2" op="equ"/>
              <dgm:constr type="wOff" for="ch" forName="circle2" refType="hOff" refFor="ch" refForName="circle2" op="equ"/>
              <dgm:constr type="b" for="ch" forName="circle2" refType="t" refFor="ch" refForName="vertSpace2"/>
              <dgm:constr type="l" for="ch" forName="rect2" refType="r" refFor="ch" refForName="space"/>
              <dgm:constr type="r" for="ch" forName="rect2" refType="w"/>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l" refFor="ch" refForName="space"/>
              <dgm:constr type="h" for="ch" forName="circle3" refType="h" refFor="ch" refForName="circle1" fact="0.71429"/>
              <dgm:constr type="hOff" for="ch" forName="circle3" refType="h" refFor="ch" refForName="vertSpace2" fact="-0.28571"/>
              <dgm:constr type="w" for="ch" forName="circle3" refType="h" refFor="ch" refForName="circle3" op="equ"/>
              <dgm:constr type="wOff" for="ch" forName="circle3" refType="hOff" refFor="ch" refForName="circle3" op="equ"/>
              <dgm:constr type="b" for="ch" forName="circle3" refType="t" refFor="ch" refForName="vertSpace3"/>
              <dgm:constr type="l" for="ch" forName="rect3" refType="r" refFor="ch" refForName="space"/>
              <dgm:constr type="r" for="ch" forName="rect3" refType="w"/>
              <dgm:constr type="h" for="ch" forName="rect3" refType="h" refFor="ch" refForName="circle3"/>
              <dgm:constr type="hOff" for="ch" forName="rect3" refType="hOff" refFor="ch" refForName="circle3"/>
              <dgm:constr type="b" for="ch" forName="rect3" refType="b" refFor="ch" refForName="circle3"/>
              <dgm:constr type="l" for="ch" forName="vertSpace4"/>
              <dgm:constr type="w" for="ch" forName="vertSpace4" refType="w"/>
              <dgm:constr type="h" for="ch" forName="vertSpace4" refType="h" refFor="ch" refForName="vertSpace3"/>
              <dgm:constr type="b" for="ch" forName="vertSpace4" refType="t" refFor="ch" refForName="vertSpace3"/>
              <dgm:constr type="ctrX" for="ch" forName="circle4" refType="l" refFor="ch" refForName="space"/>
              <dgm:constr type="h" for="ch" forName="circle4" refType="h" refFor="ch" refForName="circle1" fact="0.57143"/>
              <dgm:constr type="hOff" for="ch" forName="circle4" refType="h" refFor="ch" refForName="vertSpace2" fact="-0.42857"/>
              <dgm:constr type="w" for="ch" forName="circle4" refType="h" refFor="ch" refForName="circle4" op="equ"/>
              <dgm:constr type="wOff" for="ch" forName="circle4" refType="hOff" refFor="ch" refForName="circle4" op="equ"/>
              <dgm:constr type="b" for="ch" forName="circle4" refType="t" refFor="ch" refForName="vertSpace4"/>
              <dgm:constr type="l" for="ch" forName="rect4" refType="r" refFor="ch" refForName="space"/>
              <dgm:constr type="r" for="ch" forName="rect4" refType="w"/>
              <dgm:constr type="h" for="ch" forName="rect4" refType="h" refFor="ch" refForName="circle4"/>
              <dgm:constr type="hOff" for="ch" forName="rect4" refType="hOff" refFor="ch" refForName="circle4"/>
              <dgm:constr type="b" for="ch" forName="rect4" refType="b" refFor="ch" refForName="circle4"/>
              <dgm:constr type="l" for="ch" forName="vertSpace5"/>
              <dgm:constr type="w" for="ch" forName="vertSpace5" refType="w"/>
              <dgm:constr type="h" for="ch" forName="vertSpace5" refType="h" refFor="ch" refForName="vertSpace4"/>
              <dgm:constr type="b" for="ch" forName="vertSpace5" refType="t" refFor="ch" refForName="vertSpace4"/>
              <dgm:constr type="ctrX" for="ch" forName="circle5" refType="l" refFor="ch" refForName="space"/>
              <dgm:constr type="h" for="ch" forName="circle5" refType="h" refFor="ch" refForName="circle1" fact="0.42857"/>
              <dgm:constr type="hOff" for="ch" forName="circle5" refType="h" refFor="ch" refForName="vertSpace2" fact="-0.57143"/>
              <dgm:constr type="w" for="ch" forName="circle5" refType="h" refFor="ch" refForName="circle5" op="equ"/>
              <dgm:constr type="wOff" for="ch" forName="circle5" refType="hOff" refFor="ch" refForName="circle5" op="equ"/>
              <dgm:constr type="b" for="ch" forName="circle5" refType="t" refFor="ch" refForName="vertSpace5"/>
              <dgm:constr type="l" for="ch" forName="rect5" refType="r" refFor="ch" refForName="space"/>
              <dgm:constr type="r" for="ch" forName="rect5" refType="w"/>
              <dgm:constr type="h" for="ch" forName="rect5" refType="h" refFor="ch" refForName="circle5"/>
              <dgm:constr type="hOff" for="ch" forName="rect5" refType="hOff" refFor="ch" refForName="circle5"/>
              <dgm:constr type="b" for="ch" forName="rect5" refType="b" refFor="ch" refForName="circle5"/>
              <dgm:constr type="l" for="ch" forName="vertSpace6"/>
              <dgm:constr type="w" for="ch" forName="vertSpace6" refType="w"/>
              <dgm:constr type="h" for="ch" forName="vertSpace6" refType="h" refFor="ch" refForName="vertSpace5"/>
              <dgm:constr type="b" for="ch" forName="vertSpace6" refType="t" refFor="ch" refForName="vertSpace5"/>
              <dgm:constr type="ctrX" for="ch" forName="circle6" refType="l" refFor="ch" refForName="space"/>
              <dgm:constr type="h" for="ch" forName="circle6" refType="h" refFor="ch" refForName="circle1" fact="0.28571"/>
              <dgm:constr type="hOff" for="ch" forName="circle6" refType="h" refFor="ch" refForName="vertSpace2" fact="-0.71429"/>
              <dgm:constr type="w" for="ch" forName="circle6" refType="h" refFor="ch" refForName="circle6" op="equ"/>
              <dgm:constr type="wOff" for="ch" forName="circle6" refType="hOff" refFor="ch" refForName="circle6" op="equ"/>
              <dgm:constr type="b" for="ch" forName="circle6" refType="t" refFor="ch" refForName="vertSpace6"/>
              <dgm:constr type="l" for="ch" forName="rect6" refType="r" refFor="ch" refForName="space"/>
              <dgm:constr type="r" for="ch" forName="rect6" refType="w"/>
              <dgm:constr type="h" for="ch" forName="rect6" refType="h" refFor="ch" refForName="circle6"/>
              <dgm:constr type="hOff" for="ch" forName="rect6" refType="hOff" refFor="ch" refForName="circle6"/>
              <dgm:constr type="b" for="ch" forName="rect6" refType="b" refFor="ch" refForName="circle6"/>
              <dgm:constr type="l" for="ch" forName="vertSpace7"/>
              <dgm:constr type="w" for="ch" forName="vertSpace7" refType="w"/>
              <dgm:constr type="h" for="ch" forName="vertSpace7" refType="h" refFor="ch" refForName="vertSpace6"/>
              <dgm:constr type="b" for="ch" forName="vertSpace7" refType="t" refFor="ch" refForName="vertSpace6"/>
              <dgm:constr type="ctrX" for="ch" forName="circle7" refType="l" refFor="ch" refForName="space"/>
              <dgm:constr type="h" for="ch" forName="circle7" refType="h" refFor="ch" refForName="circle1" fact="0.14286"/>
              <dgm:constr type="hOff" for="ch" forName="circle7" refType="h" refFor="ch" refForName="vertSpace2" fact="-0.85714"/>
              <dgm:constr type="w" for="ch" forName="circle7" refType="h" refFor="ch" refForName="circle7" op="equ"/>
              <dgm:constr type="wOff" for="ch" forName="circle7" refType="hOff" refFor="ch" refForName="circle7" op="equ"/>
              <dgm:constr type="b" for="ch" forName="circle7" refType="t" refFor="ch" refForName="vertSpace7"/>
              <dgm:constr type="l" for="ch" forName="rect7" refType="r" refFor="ch" refForName="space"/>
              <dgm:constr type="r" for="ch" forName="rect7" refType="w"/>
              <dgm:constr type="h" for="ch" forName="rect7" refType="h" refFor="ch" refForName="circle7"/>
              <dgm:constr type="hOff" for="ch" forName="rect7" refType="hOff" refFor="ch" refForName="circle7"/>
              <dgm:constr type="b" for="ch" forName="rect7" refType="b" refFor="ch" refForName="circle7"/>
              <dgm:constr type="l" for="ch" forName="rect7ParTx" refType="r" refFor="ch" refForName="space"/>
              <dgm:constr type="w" for="ch" forName="rect7ParTx" refType="w" refFor="ch" refForName="rect7" fact="0.5"/>
              <dgm:constr type="t" for="ch" forName="rect7ParTx" refType="t" refFor="ch" refForName="rect7"/>
              <dgm:constr type="b" for="ch" forName="rect7ParTx" refType="b" refFor="ch" refForName="rect7"/>
              <dgm:constr type="l" for="ch" forName="rect7ChTx" refType="r" refFor="ch" refForName="rect7ParTx"/>
              <dgm:constr type="w" for="ch" forName="rect7ChTx" refType="w" refFor="ch" refForName="rect7ParTx"/>
              <dgm:constr type="t" for="ch" forName="rect7ChTx" refType="t" refFor="ch" refForName="rect7ParTx"/>
              <dgm:constr type="b" for="ch" forName="rect7ChTx" refType="b" refFor="ch" refForName="rect7ParTx"/>
              <dgm:constr type="l" for="ch" forName="rect7ParTxNoCh" refType="r" refFor="ch" refForName="space"/>
              <dgm:constr type="w" for="ch" forName="rect7ParTxNoCh" refType="w" refFor="ch" refForName="rect7"/>
              <dgm:constr type="t" for="ch" forName="rect7ParTxNoCh" refType="t" refFor="ch" refForName="rect7"/>
              <dgm:constr type="b" for="ch" forName="rect7ParTxNoCh" refType="b" refFor="ch" refForName="rect7"/>
              <dgm:constr type="l" for="ch" forName="rect1ParTx" refType="r" refFor="ch" refForName="space"/>
              <dgm:constr type="w" for="ch" forName="rect1ParTx" refType="w" refFor="ch" refForName="rect1" fact="0.5"/>
              <dgm:constr type="t" for="ch" forName="rect1ParTx" refType="t" refFor="ch" refForName="rect1"/>
              <dgm:constr type="b" for="ch" forName="rect1ParTx" refType="t" refFor="ch" refForName="rect2"/>
              <dgm:constr type="l" for="ch" forName="rect1ChTx" refType="r" refFor="ch" refForName="rect1ParTx"/>
              <dgm:constr type="w" for="ch" forName="rect1ChTx" refType="w" refFor="ch" refForName="rect1ParTx"/>
              <dgm:constr type="t" for="ch" forName="rect1ChTx" refType="t" refFor="ch" refForName="rect1ParTx"/>
              <dgm:constr type="b" for="ch" forName="rect1ChTx" refType="b" refFor="ch" refForName="rect1ParTx"/>
              <dgm:constr type="l" for="ch" forName="rect1ParTxNoCh" refType="r" refFor="ch" refForName="space"/>
              <dgm:constr type="w" for="ch" forName="rect1ParTxNoCh" refType="w" refFor="ch" refForName="rect1"/>
              <dgm:constr type="t" for="ch" forName="rect1ParTxNoCh" refType="t" refFor="ch" refForName="rect1"/>
              <dgm:constr type="b" for="ch" forName="rect1ParTxNoCh" refType="t" refFor="ch" refForName="rect2"/>
              <dgm:constr type="l" for="ch" forName="rect2ParTx" refType="r" refFor="ch" refForName="space"/>
              <dgm:constr type="w" for="ch" forName="rect2ParTx" refType="w" refFor="ch" refForName="rect2" fact="0.5"/>
              <dgm:constr type="t" for="ch" forName="rect2ParTx" refType="t" refFor="ch" refForName="rect2"/>
              <dgm:constr type="b" for="ch" forName="rect2ParTx" refType="t" refFor="ch" refForName="rect3"/>
              <dgm:constr type="l" for="ch" forName="rect2ChTx" refType="r" refFor="ch" refForName="rect2ParTx"/>
              <dgm:constr type="w" for="ch" forName="rect2ChTx" refType="w" refFor="ch" refForName="rect2ParTx"/>
              <dgm:constr type="t" for="ch" forName="rect2ChTx" refType="t" refFor="ch" refForName="rect2ParTx"/>
              <dgm:constr type="b" for="ch" forName="rect2ChTx" refType="b" refFor="ch" refForName="rect2ParTx"/>
              <dgm:constr type="l" for="ch" forName="rect2ParTxNoCh" refType="r" refFor="ch" refForName="space"/>
              <dgm:constr type="w" for="ch" forName="rect2ParTxNoCh" refType="w" refFor="ch" refForName="rect2"/>
              <dgm:constr type="t" for="ch" forName="rect2ParTxNoCh" refType="t" refFor="ch" refForName="rect2"/>
              <dgm:constr type="b" for="ch" forName="rect2ParTxNoCh" refType="t" refFor="ch" refForName="rect3"/>
              <dgm:constr type="l" for="ch" forName="rect3ParTx" refType="r" refFor="ch" refForName="space"/>
              <dgm:constr type="w" for="ch" forName="rect3ParTx" refType="w" refFor="ch" refForName="rect3" fact="0.5"/>
              <dgm:constr type="t" for="ch" forName="rect3ParTx" refType="t" refFor="ch" refForName="rect3"/>
              <dgm:constr type="b" for="ch" forName="rect3ParTx" refType="t" refFor="ch" refForName="rect4"/>
              <dgm:constr type="l" for="ch" forName="rect3ChTx" refType="r" refFor="ch" refForName="rect3ParTx"/>
              <dgm:constr type="w" for="ch" forName="rect3ChTx" refType="w" refFor="ch" refForName="rect3ParTx"/>
              <dgm:constr type="t" for="ch" forName="rect3ChTx" refType="t" refFor="ch" refForName="rect3ParTx"/>
              <dgm:constr type="b" for="ch" forName="rect3ChTx" refType="b" refFor="ch" refForName="rect3ParTx"/>
              <dgm:constr type="l" for="ch" forName="rect3ParTxNoCh" refType="r" refFor="ch" refForName="space"/>
              <dgm:constr type="w" for="ch" forName="rect3ParTxNoCh" refType="w" refFor="ch" refForName="rect3"/>
              <dgm:constr type="t" for="ch" forName="rect3ParTxNoCh" refType="t" refFor="ch" refForName="rect3"/>
              <dgm:constr type="b" for="ch" forName="rect3ParTxNoCh" refType="t" refFor="ch" refForName="rect4"/>
              <dgm:constr type="l" for="ch" forName="rect4ParTx" refType="r" refFor="ch" refForName="space"/>
              <dgm:constr type="w" for="ch" forName="rect4ParTx" refType="w" refFor="ch" refForName="rect4" fact="0.5"/>
              <dgm:constr type="t" for="ch" forName="rect4ParTx" refType="t" refFor="ch" refForName="rect4"/>
              <dgm:constr type="b" for="ch" forName="rect4ParTx" refType="t" refFor="ch" refForName="rect5"/>
              <dgm:constr type="l" for="ch" forName="rect4ChTx" refType="r" refFor="ch" refForName="rect4ParTx"/>
              <dgm:constr type="w" for="ch" forName="rect4ChTx" refType="w" refFor="ch" refForName="rect4ParTx"/>
              <dgm:constr type="t" for="ch" forName="rect4ChTx" refType="t" refFor="ch" refForName="rect4ParTx"/>
              <dgm:constr type="b" for="ch" forName="rect4ChTx" refType="b" refFor="ch" refForName="rect4ParTx"/>
              <dgm:constr type="l" for="ch" forName="rect4ParTxNoCh" refType="r" refFor="ch" refForName="space"/>
              <dgm:constr type="w" for="ch" forName="rect4ParTxNoCh" refType="w" refFor="ch" refForName="rect4"/>
              <dgm:constr type="t" for="ch" forName="rect4ParTxNoCh" refType="t" refFor="ch" refForName="rect4"/>
              <dgm:constr type="b" for="ch" forName="rect4ParTxNoCh" refType="t" refFor="ch" refForName="rect5"/>
              <dgm:constr type="l" for="ch" forName="rect5ParTx" refType="r" refFor="ch" refForName="space"/>
              <dgm:constr type="w" for="ch" forName="rect5ParTx" refType="w" refFor="ch" refForName="rect5" fact="0.5"/>
              <dgm:constr type="t" for="ch" forName="rect5ParTx" refType="t" refFor="ch" refForName="rect5"/>
              <dgm:constr type="b" for="ch" forName="rect5ParTx" refType="t" refFor="ch" refForName="rect6"/>
              <dgm:constr type="l" for="ch" forName="rect5ChTx" refType="r" refFor="ch" refForName="rect5ParTx"/>
              <dgm:constr type="w" for="ch" forName="rect5ChTx" refType="w" refFor="ch" refForName="rect5ParTx"/>
              <dgm:constr type="t" for="ch" forName="rect5ChTx" refType="t" refFor="ch" refForName="rect5ParTx"/>
              <dgm:constr type="b" for="ch" forName="rect5ChTx" refType="b" refFor="ch" refForName="rect5ParTx"/>
              <dgm:constr type="l" for="ch" forName="rect5ParTxNoCh" refType="r" refFor="ch" refForName="space"/>
              <dgm:constr type="w" for="ch" forName="rect5ParTxNoCh" refType="w" refFor="ch" refForName="rect5"/>
              <dgm:constr type="t" for="ch" forName="rect5ParTxNoCh" refType="t" refFor="ch" refForName="rect5"/>
              <dgm:constr type="b" for="ch" forName="rect5ParTxNoCh" refType="t" refFor="ch" refForName="rect6"/>
              <dgm:constr type="l" for="ch" forName="rect6ParTx" refType="r" refFor="ch" refForName="space"/>
              <dgm:constr type="w" for="ch" forName="rect6ParTx" refType="w" refFor="ch" refForName="rect6" fact="0.5"/>
              <dgm:constr type="t" for="ch" forName="rect6ParTx" refType="t" refFor="ch" refForName="rect6"/>
              <dgm:constr type="b" for="ch" forName="rect6ParTx" refType="t" refFor="ch" refForName="rect7"/>
              <dgm:constr type="l" for="ch" forName="rect6ChTx" refType="r" refFor="ch" refForName="rect6ParTx"/>
              <dgm:constr type="w" for="ch" forName="rect6ChTx" refType="w" refFor="ch" refForName="rect6ParTx"/>
              <dgm:constr type="t" for="ch" forName="rect6ChTx" refType="t" refFor="ch" refForName="rect6ParTx"/>
              <dgm:constr type="b" for="ch" forName="rect6ChTx" refType="b" refFor="ch" refForName="rect6ParTx"/>
              <dgm:constr type="l" for="ch" forName="rect6ParTxNoCh" refType="r" refFor="ch" refForName="space"/>
              <dgm:constr type="w" for="ch" forName="rect6ParTxNoCh" refType="w" refFor="ch" refForName="rect6"/>
              <dgm:constr type="t" for="ch" forName="rect6ParTxNoCh" refType="t" refFor="ch" refForName="rect6"/>
              <dgm:constr type="b" for="ch" forName="rect6ParTxNoCh" refType="t" refFor="ch" refForName="rect7"/>
              <dgm:constr type="primFontSz" for="ch" op="equ" val="65"/>
              <dgm:constr type="secFontSz" for="ch" op="equ" val="65"/>
            </dgm:constrLst>
          </dgm:if>
          <dgm:else name="Name11">
            <dgm:constrLst/>
          </dgm:else>
        </dgm:choose>
      </dgm:if>
      <dgm:else name="Name12">
        <dgm:choose name="Name13">
          <dgm:if name="Name14" axis="ch" ptType="node" func="cnt" op="equ" val="1">
            <dgm:constrLst>
              <dgm:constr type="userA" refType="w" fact="0.3"/>
              <dgm:constr type="w" for="ch" forName="circle1" refType="userA" fact="2"/>
              <dgm:constr type="h" for="ch" forName="circle1" refType="w" refFor="ch" refForName="circle1" op="equ"/>
              <dgm:constr type="r" for="ch" forName="circle1" refType="w"/>
              <dgm:constr type="ctrY" for="ch" forName="circle1" refType="h" fact="0.5"/>
              <dgm:constr type="r" for="ch" forName="space" refType="ctrX" refFor="ch" refForName="circle1"/>
              <dgm:constr type="w" for="ch" forName="space"/>
              <dgm:constr type="h" for="ch" forName="space" refType="h" refFor="ch" refForName="circle1"/>
              <dgm:constr type="b" for="ch" forName="space" refType="b" refFor="ch" refForName="circle1"/>
              <dgm:constr type="r" for="ch" forName="rect1" refType="l" refFor="ch" refForName="space"/>
              <dgm:constr type="l" for="ch" forName="rect1"/>
              <dgm:constr type="h" for="ch" forName="rect1" refType="h" refFor="ch" refForName="circle1"/>
              <dgm:constr type="b" for="ch" forName="rect1" refType="b" refFor="ch" refForName="circle1"/>
              <dgm:constr type="r" for="ch" forName="rect1ParTx" refType="l" refFor="ch" refForName="space"/>
              <dgm:constr type="w" for="ch" forName="rect1ParTx" refType="w" refFor="ch" refForName="rect1" fact="0.5"/>
              <dgm:constr type="t" for="ch" forName="rect1ParTx" refType="t" refFor="ch" refForName="rect1"/>
              <dgm:constr type="b" for="ch" forName="rect1ParTx" refType="b" refFor="ch" refForName="rect1"/>
              <dgm:constr type="r" for="ch" forName="rect1ChTx" refType="l" refFor="ch" refForName="rect1ParTx"/>
              <dgm:constr type="w" for="ch" forName="rect1ChTx" refType="w" refFor="ch" refForName="rect1ParTx"/>
              <dgm:constr type="t" for="ch" forName="rect1ChTx" refType="t" refFor="ch" refForName="rect1ParTx"/>
              <dgm:constr type="b" for="ch" forName="rect1ChTx" refType="b" refFor="ch" refForName="rect1ParTx"/>
              <dgm:constr type="r" for="ch" forName="rect1ParTxNoCh" refType="l" refFor="ch" refForName="space"/>
              <dgm:constr type="w" for="ch" forName="rect1ParTxNoCh" refType="w" refFor="ch" refForName="rect1"/>
              <dgm:constr type="t" for="ch" forName="rect1ParTxNoCh" refType="t" refFor="ch" refForName="rect1"/>
              <dgm:constr type="b" for="ch" forName="rect1ParTxNoCh" refType="b" refFor="ch" refForName="rect1"/>
              <dgm:constr type="primFontSz" for="ch" op="equ" val="65"/>
              <dgm:constr type="secFontSz" for="ch" op="equ" val="65"/>
            </dgm:constrLst>
          </dgm:if>
          <dgm:if name="Name15" axis="ch" ptType="node" func="cnt" op="equ" val="2">
            <dgm:constrLst>
              <dgm:constr type="userA" refType="w" fact="0.3"/>
              <dgm:constr type="w" for="ch" forName="circle1" refType="userA" fact="2"/>
              <dgm:constr type="h" for="ch" forName="circle1" refType="w" refFor="ch" refForName="circle1" op="equ"/>
              <dgm:constr type="r" for="ch" forName="circle1" refType="w"/>
              <dgm:constr type="ctrY" for="ch" forName="circle1" refType="h" fact="0.5"/>
              <dgm:constr type="r" for="ch" forName="space" refType="ctrX" refFor="ch" refForName="circle1"/>
              <dgm:constr type="w" for="ch" forName="space"/>
              <dgm:constr type="h" for="ch" forName="space" refType="h" refFor="ch" refForName="circle1"/>
              <dgm:constr type="b" for="ch" forName="space" refType="b" refFor="ch" refForName="circle1"/>
              <dgm:constr type="r" for="ch" forName="rect1" refType="l" refFor="ch" refForName="space"/>
              <dgm:constr type="l" for="ch" forName="rect1"/>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r" refFor="ch" refForName="space"/>
              <dgm:constr type="h" for="ch" forName="circle2" refType="h" refFor="ch" refForName="circle1" fact="0.5"/>
              <dgm:constr type="hOff" for="ch" forName="circle2" refType="h" refFor="ch" refForName="vertSpace2" fact="-0.5"/>
              <dgm:constr type="w" for="ch" forName="circle2" refType="h" refFor="ch" refForName="circle2" op="equ"/>
              <dgm:constr type="wOff" for="ch" forName="circle2" refType="hOff" refFor="ch" refForName="circle2" op="equ"/>
              <dgm:constr type="b" for="ch" forName="circle2" refType="t" refFor="ch" refForName="vertSpace2"/>
              <dgm:constr type="r" for="ch" forName="rect2" refType="l" refFor="ch" refForName="space"/>
              <dgm:constr type="l" for="ch" forName="rect2"/>
              <dgm:constr type="h" for="ch" forName="rect2" refType="h" refFor="ch" refForName="circle2"/>
              <dgm:constr type="hOff" for="ch" forName="rect2" refType="hOff" refFor="ch" refForName="circle2"/>
              <dgm:constr type="b" for="ch" forName="rect2" refType="b" refFor="ch" refForName="circle2"/>
              <dgm:constr type="r" for="ch" forName="rect2ParTx" refType="l" refFor="ch" refForName="space"/>
              <dgm:constr type="w" for="ch" forName="rect2ParTx" refType="w" refFor="ch" refForName="rect2" fact="0.5"/>
              <dgm:constr type="t" for="ch" forName="rect2ParTx" refType="t" refFor="ch" refForName="rect2"/>
              <dgm:constr type="b" for="ch" forName="rect2ParTx" refType="b" refFor="ch" refForName="rect2"/>
              <dgm:constr type="r" for="ch" forName="rect2ChTx" refType="l" refFor="ch" refForName="rect2ParTx"/>
              <dgm:constr type="w" for="ch" forName="rect2ChTx" refType="w" refFor="ch" refForName="rect2ParTx"/>
              <dgm:constr type="t" for="ch" forName="rect2ChTx" refType="t" refFor="ch" refForName="rect2ParTx"/>
              <dgm:constr type="b" for="ch" forName="rect2ChTx" refType="b" refFor="ch" refForName="rect2ParTx"/>
              <dgm:constr type="r" for="ch" forName="rect2ParTxNoCh" refType="l" refFor="ch" refForName="space"/>
              <dgm:constr type="w" for="ch" forName="rect2ParTxNoCh" refType="w" refFor="ch" refForName="rect2"/>
              <dgm:constr type="t" for="ch" forName="rect2ParTxNoCh" refType="t" refFor="ch" refForName="rect2"/>
              <dgm:constr type="b" for="ch" forName="rect2ParTxNoCh" refType="b" refFor="ch" refForName="rect2"/>
              <dgm:constr type="r" for="ch" forName="rect1ParTx" refType="l" refFor="ch" refForName="space"/>
              <dgm:constr type="w" for="ch" forName="rect1ParTx" refType="w" refFor="ch" refForName="rect1" fact="0.5"/>
              <dgm:constr type="t" for="ch" forName="rect1ParTx" refType="t" refFor="ch" refForName="rect1"/>
              <dgm:constr type="b" for="ch" forName="rect1ParTx" refType="t" refFor="ch" refForName="rect2"/>
              <dgm:constr type="r" for="ch" forName="rect1ChTx" refType="l" refFor="ch" refForName="rect1ParTx"/>
              <dgm:constr type="w" for="ch" forName="rect1ChTx" refType="w" refFor="ch" refForName="rect1ParTx"/>
              <dgm:constr type="t" for="ch" forName="rect1ChTx" refType="t" refFor="ch" refForName="rect1ParTx"/>
              <dgm:constr type="b" for="ch" forName="rect1ChTx" refType="b" refFor="ch" refForName="rect1ParTx"/>
              <dgm:constr type="r" for="ch" forName="rect1ParTxNoCh" refType="l" refFor="ch" refForName="space"/>
              <dgm:constr type="w" for="ch" forName="rect1ParTxNoCh" refType="w" refFor="ch" refForName="rect1"/>
              <dgm:constr type="t" for="ch" forName="rect1ParTxNoCh" refType="t" refFor="ch" refForName="rect1"/>
              <dgm:constr type="b" for="ch" forName="rect1ParTxNoCh" refType="t" refFor="ch" refForName="rect2"/>
              <dgm:constr type="primFontSz" for="ch" op="equ" val="65"/>
              <dgm:constr type="secFontSz" for="ch" op="equ" val="65"/>
            </dgm:constrLst>
          </dgm:if>
          <dgm:if name="Name16" axis="ch" ptType="node" func="cnt" op="equ" val="3">
            <dgm:constrLst>
              <dgm:constr type="userA" refType="w" fact="0.3"/>
              <dgm:constr type="w" for="ch" forName="circle1" refType="userA" fact="2"/>
              <dgm:constr type="h" for="ch" forName="circle1" refType="w" refFor="ch" refForName="circle1" op="equ"/>
              <dgm:constr type="r" for="ch" forName="circle1" refType="w"/>
              <dgm:constr type="ctrY" for="ch" forName="circle1" refType="h" fact="0.5"/>
              <dgm:constr type="r" for="ch" forName="space" refType="ctrX" refFor="ch" refForName="circle1"/>
              <dgm:constr type="w" for="ch" forName="space"/>
              <dgm:constr type="h" for="ch" forName="space" refType="h" refFor="ch" refForName="circle1"/>
              <dgm:constr type="b" for="ch" forName="space" refType="b" refFor="ch" refForName="circle1"/>
              <dgm:constr type="r" for="ch" forName="rect1" refType="l" refFor="ch" refForName="space"/>
              <dgm:constr type="l" for="ch" forName="rect1"/>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r" refFor="ch" refForName="space"/>
              <dgm:constr type="h" for="ch" forName="circle2" refType="h" refFor="ch" refForName="circle1" fact="0.66667"/>
              <dgm:constr type="hOff" for="ch" forName="circle2" refType="h" refFor="ch" refForName="vertSpace2" fact="-0.33333"/>
              <dgm:constr type="w" for="ch" forName="circle2" refType="h" refFor="ch" refForName="circle2" op="equ"/>
              <dgm:constr type="wOff" for="ch" forName="circle2" refType="hOff" refFor="ch" refForName="circle2" op="equ"/>
              <dgm:constr type="b" for="ch" forName="circle2" refType="t" refFor="ch" refForName="vertSpace2"/>
              <dgm:constr type="r" for="ch" forName="rect2" refType="l" refFor="ch" refForName="space"/>
              <dgm:constr type="l" for="ch" forName="rect2"/>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r" refFor="ch" refForName="space"/>
              <dgm:constr type="h" for="ch" forName="circle3" refType="h" refFor="ch" refForName="circle1" fact="0.33333"/>
              <dgm:constr type="hOff" for="ch" forName="circle3" refType="h" refFor="ch" refForName="vertSpace2" fact="-0.66667"/>
              <dgm:constr type="w" for="ch" forName="circle3" refType="h" refFor="ch" refForName="circle3" op="equ"/>
              <dgm:constr type="wOff" for="ch" forName="circle3" refType="hOff" refFor="ch" refForName="circle3" op="equ"/>
              <dgm:constr type="b" for="ch" forName="circle3" refType="t" refFor="ch" refForName="vertSpace3"/>
              <dgm:constr type="r" for="ch" forName="rect3" refType="l" refFor="ch" refForName="space"/>
              <dgm:constr type="l" for="ch" forName="rect3"/>
              <dgm:constr type="h" for="ch" forName="rect3" refType="h" refFor="ch" refForName="circle3"/>
              <dgm:constr type="hOff" for="ch" forName="rect3" refType="hOff" refFor="ch" refForName="circle3"/>
              <dgm:constr type="b" for="ch" forName="rect3" refType="b" refFor="ch" refForName="circle3"/>
              <dgm:constr type="r" for="ch" forName="rect3ParTx" refType="l" refFor="ch" refForName="space"/>
              <dgm:constr type="w" for="ch" forName="rect3ParTx" refType="w" refFor="ch" refForName="rect3" fact="0.5"/>
              <dgm:constr type="t" for="ch" forName="rect3ParTx" refType="t" refFor="ch" refForName="rect3"/>
              <dgm:constr type="b" for="ch" forName="rect3ParTx" refType="b" refFor="ch" refForName="rect3"/>
              <dgm:constr type="r" for="ch" forName="rect3ChTx" refType="l" refFor="ch" refForName="rect3ParTx"/>
              <dgm:constr type="w" for="ch" forName="rect3ChTx" refType="w" refFor="ch" refForName="rect3ParTx"/>
              <dgm:constr type="t" for="ch" forName="rect3ChTx" refType="t" refFor="ch" refForName="rect3ParTx"/>
              <dgm:constr type="b" for="ch" forName="rect3ChTx" refType="b" refFor="ch" refForName="rect3ParTx"/>
              <dgm:constr type="r" for="ch" forName="rect3ParTxNoCh" refType="l" refFor="ch" refForName="space"/>
              <dgm:constr type="w" for="ch" forName="rect3ParTxNoCh" refType="w" refFor="ch" refForName="rect3"/>
              <dgm:constr type="t" for="ch" forName="rect3ParTxNoCh" refType="t" refFor="ch" refForName="rect3"/>
              <dgm:constr type="b" for="ch" forName="rect3ParTxNoCh" refType="b" refFor="ch" refForName="rect3"/>
              <dgm:constr type="r" for="ch" forName="rect1ParTx" refType="l" refFor="ch" refForName="space"/>
              <dgm:constr type="w" for="ch" forName="rect1ParTx" refType="w" refFor="ch" refForName="rect1" fact="0.5"/>
              <dgm:constr type="t" for="ch" forName="rect1ParTx" refType="t" refFor="ch" refForName="rect1"/>
              <dgm:constr type="b" for="ch" forName="rect1ParTx" refType="t" refFor="ch" refForName="rect2"/>
              <dgm:constr type="r" for="ch" forName="rect1ChTx" refType="l" refFor="ch" refForName="rect1ParTx"/>
              <dgm:constr type="w" for="ch" forName="rect1ChTx" refType="w" refFor="ch" refForName="rect1ParTx"/>
              <dgm:constr type="t" for="ch" forName="rect1ChTx" refType="t" refFor="ch" refForName="rect1ParTx"/>
              <dgm:constr type="b" for="ch" forName="rect1ChTx" refType="b" refFor="ch" refForName="rect1ParTx"/>
              <dgm:constr type="r" for="ch" forName="rect1ParTxNoCh" refType="l" refFor="ch" refForName="space"/>
              <dgm:constr type="w" for="ch" forName="rect1ParTxNoCh" refType="w" refFor="ch" refForName="rect1"/>
              <dgm:constr type="t" for="ch" forName="rect1ParTxNoCh" refType="t" refFor="ch" refForName="rect1"/>
              <dgm:constr type="b" for="ch" forName="rect1ParTxNoCh" refType="t" refFor="ch" refForName="rect2"/>
              <dgm:constr type="r" for="ch" forName="rect2ParTx" refType="l" refFor="ch" refForName="space"/>
              <dgm:constr type="w" for="ch" forName="rect2ParTx" refType="w" refFor="ch" refForName="rect2" fact="0.5"/>
              <dgm:constr type="t" for="ch" forName="rect2ParTx" refType="t" refFor="ch" refForName="rect2"/>
              <dgm:constr type="b" for="ch" forName="rect2ParTx" refType="t" refFor="ch" refForName="rect3"/>
              <dgm:constr type="r" for="ch" forName="rect2ChTx" refType="l" refFor="ch" refForName="rect2ParTx"/>
              <dgm:constr type="w" for="ch" forName="rect2ChTx" refType="w" refFor="ch" refForName="rect2ParTx"/>
              <dgm:constr type="t" for="ch" forName="rect2ChTx" refType="t" refFor="ch" refForName="rect2ParTx"/>
              <dgm:constr type="b" for="ch" forName="rect2ChTx" refType="b" refFor="ch" refForName="rect2ParTx"/>
              <dgm:constr type="r" for="ch" forName="rect2ParTxNoCh" refType="l" refFor="ch" refForName="space"/>
              <dgm:constr type="w" for="ch" forName="rect2ParTxNoCh" refType="w" refFor="ch" refForName="rect2"/>
              <dgm:constr type="t" for="ch" forName="rect2ParTxNoCh" refType="t" refFor="ch" refForName="rect2"/>
              <dgm:constr type="b" for="ch" forName="rect2ParTxNoCh" refType="t" refFor="ch" refForName="rect3"/>
              <dgm:constr type="primFontSz" for="ch" op="equ" val="65"/>
              <dgm:constr type="secFontSz" for="ch" op="equ" val="65"/>
            </dgm:constrLst>
          </dgm:if>
          <dgm:if name="Name17" axis="ch" ptType="node" func="cnt" op="equ" val="4">
            <dgm:constrLst>
              <dgm:constr type="userA" refType="w" fact="0.3"/>
              <dgm:constr type="w" for="ch" forName="circle1" refType="userA" fact="2"/>
              <dgm:constr type="h" for="ch" forName="circle1" refType="w" refFor="ch" refForName="circle1" op="equ"/>
              <dgm:constr type="r" for="ch" forName="circle1" refType="w"/>
              <dgm:constr type="ctrY" for="ch" forName="circle1" refType="h" fact="0.5"/>
              <dgm:constr type="r" for="ch" forName="space" refType="ctrX" refFor="ch" refForName="circle1"/>
              <dgm:constr type="w" for="ch" forName="space"/>
              <dgm:constr type="h" for="ch" forName="space" refType="h" refFor="ch" refForName="circle1"/>
              <dgm:constr type="b" for="ch" forName="space" refType="b" refFor="ch" refForName="circle1"/>
              <dgm:constr type="r" for="ch" forName="rect1" refType="l" refFor="ch" refForName="space"/>
              <dgm:constr type="l" for="ch" forName="rect1"/>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r" refFor="ch" refForName="space"/>
              <dgm:constr type="h" for="ch" forName="circle2" refType="h" refFor="ch" refForName="circle1" fact="0.75"/>
              <dgm:constr type="hOff" for="ch" forName="circle2" refType="h" refFor="ch" refForName="vertSpace2" fact="-0.25"/>
              <dgm:constr type="w" for="ch" forName="circle2" refType="h" refFor="ch" refForName="circle2" op="equ"/>
              <dgm:constr type="wOff" for="ch" forName="circle2" refType="hOff" refFor="ch" refForName="circle2" op="equ"/>
              <dgm:constr type="b" for="ch" forName="circle2" refType="t" refFor="ch" refForName="vertSpace2"/>
              <dgm:constr type="r" for="ch" forName="rect2" refType="l" refFor="ch" refForName="space"/>
              <dgm:constr type="l" for="ch" forName="rect2"/>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r" refFor="ch" refForName="space"/>
              <dgm:constr type="h" for="ch" forName="circle3" refType="h" refFor="ch" refForName="circle1" fact="0.5"/>
              <dgm:constr type="hOff" for="ch" forName="circle3" refType="h" refFor="ch" refForName="vertSpace2" fact="-0.5"/>
              <dgm:constr type="w" for="ch" forName="circle3" refType="h" refFor="ch" refForName="circle3" op="equ"/>
              <dgm:constr type="wOff" for="ch" forName="circle3" refType="hOff" refFor="ch" refForName="circle3" op="equ"/>
              <dgm:constr type="b" for="ch" forName="circle3" refType="t" refFor="ch" refForName="vertSpace3"/>
              <dgm:constr type="r" for="ch" forName="rect3" refType="l" refFor="ch" refForName="space"/>
              <dgm:constr type="l" for="ch" forName="rect3"/>
              <dgm:constr type="h" for="ch" forName="rect3" refType="h" refFor="ch" refForName="circle3"/>
              <dgm:constr type="hOff" for="ch" forName="rect3" refType="hOff" refFor="ch" refForName="circle3"/>
              <dgm:constr type="b" for="ch" forName="rect3" refType="b" refFor="ch" refForName="circle3"/>
              <dgm:constr type="l" for="ch" forName="vertSpace4"/>
              <dgm:constr type="w" for="ch" forName="vertSpace4" refType="w"/>
              <dgm:constr type="h" for="ch" forName="vertSpace4" refType="h" refFor="ch" refForName="vertSpace3"/>
              <dgm:constr type="b" for="ch" forName="vertSpace4" refType="t" refFor="ch" refForName="vertSpace3"/>
              <dgm:constr type="ctrX" for="ch" forName="circle4" refType="r" refFor="ch" refForName="space"/>
              <dgm:constr type="h" for="ch" forName="circle4" refType="h" refFor="ch" refForName="circle1" fact="0.25"/>
              <dgm:constr type="hOff" for="ch" forName="circle4" refType="h" refFor="ch" refForName="vertSpace2" fact="-0.75"/>
              <dgm:constr type="w" for="ch" forName="circle4" refType="h" refFor="ch" refForName="circle4" op="equ"/>
              <dgm:constr type="wOff" for="ch" forName="circle4" refType="hOff" refFor="ch" refForName="circle4" op="equ"/>
              <dgm:constr type="b" for="ch" forName="circle4" refType="t" refFor="ch" refForName="vertSpace4"/>
              <dgm:constr type="r" for="ch" forName="rect4" refType="l" refFor="ch" refForName="space"/>
              <dgm:constr type="l" for="ch" forName="rect4"/>
              <dgm:constr type="h" for="ch" forName="rect4" refType="h" refFor="ch" refForName="circle4"/>
              <dgm:constr type="hOff" for="ch" forName="rect4" refType="hOff" refFor="ch" refForName="circle4"/>
              <dgm:constr type="b" for="ch" forName="rect4" refType="b" refFor="ch" refForName="circle4"/>
              <dgm:constr type="r" for="ch" forName="rect4ParTx" refType="l" refFor="ch" refForName="space"/>
              <dgm:constr type="w" for="ch" forName="rect4ParTx" refType="w" refFor="ch" refForName="rect4" fact="0.5"/>
              <dgm:constr type="t" for="ch" forName="rect4ParTx" refType="t" refFor="ch" refForName="rect4"/>
              <dgm:constr type="b" for="ch" forName="rect4ParTx" refType="b" refFor="ch" refForName="rect4"/>
              <dgm:constr type="r" for="ch" forName="rect4ChTx" refType="l" refFor="ch" refForName="rect4ParTx"/>
              <dgm:constr type="w" for="ch" forName="rect4ChTx" refType="w" refFor="ch" refForName="rect4ParTx"/>
              <dgm:constr type="t" for="ch" forName="rect4ChTx" refType="t" refFor="ch" refForName="rect4ParTx"/>
              <dgm:constr type="b" for="ch" forName="rect4ChTx" refType="b" refFor="ch" refForName="rect4ParTx"/>
              <dgm:constr type="r" for="ch" forName="rect4ParTxNoCh" refType="l" refFor="ch" refForName="space"/>
              <dgm:constr type="w" for="ch" forName="rect4ParTxNoCh" refType="w" refFor="ch" refForName="rect4"/>
              <dgm:constr type="t" for="ch" forName="rect4ParTxNoCh" refType="t" refFor="ch" refForName="rect4"/>
              <dgm:constr type="b" for="ch" forName="rect4ParTxNoCh" refType="b" refFor="ch" refForName="rect4"/>
              <dgm:constr type="r" for="ch" forName="rect1ParTx" refType="l" refFor="ch" refForName="space"/>
              <dgm:constr type="w" for="ch" forName="rect1ParTx" refType="w" refFor="ch" refForName="rect1" fact="0.5"/>
              <dgm:constr type="t" for="ch" forName="rect1ParTx" refType="t" refFor="ch" refForName="rect1"/>
              <dgm:constr type="b" for="ch" forName="rect1ParTx" refType="t" refFor="ch" refForName="rect2"/>
              <dgm:constr type="r" for="ch" forName="rect1ChTx" refType="l" refFor="ch" refForName="rect1ParTx"/>
              <dgm:constr type="w" for="ch" forName="rect1ChTx" refType="w" refFor="ch" refForName="rect1ParTx"/>
              <dgm:constr type="t" for="ch" forName="rect1ChTx" refType="t" refFor="ch" refForName="rect1ParTx"/>
              <dgm:constr type="b" for="ch" forName="rect1ChTx" refType="b" refFor="ch" refForName="rect1ParTx"/>
              <dgm:constr type="r" for="ch" forName="rect1ParTxNoCh" refType="l" refFor="ch" refForName="space"/>
              <dgm:constr type="w" for="ch" forName="rect1ParTxNoCh" refType="w" refFor="ch" refForName="rect1"/>
              <dgm:constr type="t" for="ch" forName="rect1ParTxNoCh" refType="t" refFor="ch" refForName="rect1"/>
              <dgm:constr type="b" for="ch" forName="rect1ParTxNoCh" refType="t" refFor="ch" refForName="rect2"/>
              <dgm:constr type="r" for="ch" forName="rect2ParTx" refType="l" refFor="ch" refForName="space"/>
              <dgm:constr type="w" for="ch" forName="rect2ParTx" refType="w" refFor="ch" refForName="rect2" fact="0.5"/>
              <dgm:constr type="t" for="ch" forName="rect2ParTx" refType="t" refFor="ch" refForName="rect2"/>
              <dgm:constr type="b" for="ch" forName="rect2ParTx" refType="t" refFor="ch" refForName="rect3"/>
              <dgm:constr type="r" for="ch" forName="rect2ChTx" refType="l" refFor="ch" refForName="rect2ParTx"/>
              <dgm:constr type="w" for="ch" forName="rect2ChTx" refType="w" refFor="ch" refForName="rect2ParTx"/>
              <dgm:constr type="t" for="ch" forName="rect2ChTx" refType="t" refFor="ch" refForName="rect2ParTx"/>
              <dgm:constr type="b" for="ch" forName="rect2ChTx" refType="b" refFor="ch" refForName="rect2ParTx"/>
              <dgm:constr type="r" for="ch" forName="rect2ParTxNoCh" refType="l" refFor="ch" refForName="space"/>
              <dgm:constr type="w" for="ch" forName="rect2ParTxNoCh" refType="w" refFor="ch" refForName="rect2"/>
              <dgm:constr type="t" for="ch" forName="rect2ParTxNoCh" refType="t" refFor="ch" refForName="rect2"/>
              <dgm:constr type="b" for="ch" forName="rect2ParTxNoCh" refType="t" refFor="ch" refForName="rect3"/>
              <dgm:constr type="r" for="ch" forName="rect3ParTx" refType="l" refFor="ch" refForName="space"/>
              <dgm:constr type="w" for="ch" forName="rect3ParTx" refType="w" refFor="ch" refForName="rect3" fact="0.5"/>
              <dgm:constr type="t" for="ch" forName="rect3ParTx" refType="t" refFor="ch" refForName="rect3"/>
              <dgm:constr type="b" for="ch" forName="rect3ParTx" refType="t" refFor="ch" refForName="rect4"/>
              <dgm:constr type="r" for="ch" forName="rect3ChTx" refType="l" refFor="ch" refForName="rect3ParTx"/>
              <dgm:constr type="w" for="ch" forName="rect3ChTx" refType="w" refFor="ch" refForName="rect3ParTx"/>
              <dgm:constr type="t" for="ch" forName="rect3ChTx" refType="t" refFor="ch" refForName="rect3ParTx"/>
              <dgm:constr type="b" for="ch" forName="rect3ChTx" refType="b" refFor="ch" refForName="rect3ParTx"/>
              <dgm:constr type="r" for="ch" forName="rect3ParTxNoCh" refType="l" refFor="ch" refForName="space"/>
              <dgm:constr type="w" for="ch" forName="rect3ParTxNoCh" refType="w" refFor="ch" refForName="rect3"/>
              <dgm:constr type="t" for="ch" forName="rect3ParTxNoCh" refType="t" refFor="ch" refForName="rect3"/>
              <dgm:constr type="b" for="ch" forName="rect3ParTxNoCh" refType="t" refFor="ch" refForName="rect4"/>
              <dgm:constr type="primFontSz" for="ch" op="equ" val="65"/>
              <dgm:constr type="secFontSz" for="ch" op="equ" val="65"/>
            </dgm:constrLst>
          </dgm:if>
          <dgm:if name="Name18" axis="ch" ptType="node" func="cnt" op="equ" val="5">
            <dgm:constrLst>
              <dgm:constr type="userA" refType="w" fact="0.3"/>
              <dgm:constr type="w" for="ch" forName="circle1" refType="userA" fact="2"/>
              <dgm:constr type="h" for="ch" forName="circle1" refType="w" refFor="ch" refForName="circle1" op="equ"/>
              <dgm:constr type="r" for="ch" forName="circle1" refType="w"/>
              <dgm:constr type="ctrY" for="ch" forName="circle1" refType="h" fact="0.5"/>
              <dgm:constr type="r" for="ch" forName="space" refType="ctrX" refFor="ch" refForName="circle1"/>
              <dgm:constr type="w" for="ch" forName="space"/>
              <dgm:constr type="h" for="ch" forName="space" refType="h" refFor="ch" refForName="circle1"/>
              <dgm:constr type="b" for="ch" forName="space" refType="b" refFor="ch" refForName="circle1"/>
              <dgm:constr type="r" for="ch" forName="rect1" refType="l" refFor="ch" refForName="space"/>
              <dgm:constr type="l" for="ch" forName="rect1"/>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r" refFor="ch" refForName="space"/>
              <dgm:constr type="h" for="ch" forName="circle2" refType="h" refFor="ch" refForName="circle1" fact="0.8"/>
              <dgm:constr type="hOff" for="ch" forName="circle2" refType="h" refFor="ch" refForName="vertSpace2" fact="-0.2"/>
              <dgm:constr type="w" for="ch" forName="circle2" refType="h" refFor="ch" refForName="circle2" op="equ"/>
              <dgm:constr type="wOff" for="ch" forName="circle2" refType="hOff" refFor="ch" refForName="circle2" op="equ"/>
              <dgm:constr type="b" for="ch" forName="circle2" refType="t" refFor="ch" refForName="vertSpace2"/>
              <dgm:constr type="r" for="ch" forName="rect2" refType="l" refFor="ch" refForName="space"/>
              <dgm:constr type="l" for="ch" forName="rect2"/>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r" refFor="ch" refForName="space"/>
              <dgm:constr type="h" for="ch" forName="circle3" refType="h" refFor="ch" refForName="circle1" fact="0.6"/>
              <dgm:constr type="hOff" for="ch" forName="circle3" refType="h" refFor="ch" refForName="vertSpace2" fact="-0.4"/>
              <dgm:constr type="w" for="ch" forName="circle3" refType="h" refFor="ch" refForName="circle3" op="equ"/>
              <dgm:constr type="wOff" for="ch" forName="circle3" refType="hOff" refFor="ch" refForName="circle3" op="equ"/>
              <dgm:constr type="b" for="ch" forName="circle3" refType="t" refFor="ch" refForName="vertSpace3"/>
              <dgm:constr type="r" for="ch" forName="rect3" refType="l" refFor="ch" refForName="space"/>
              <dgm:constr type="l" for="ch" forName="rect3"/>
              <dgm:constr type="h" for="ch" forName="rect3" refType="h" refFor="ch" refForName="circle3"/>
              <dgm:constr type="hOff" for="ch" forName="rect3" refType="hOff" refFor="ch" refForName="circle3"/>
              <dgm:constr type="b" for="ch" forName="rect3" refType="b" refFor="ch" refForName="circle3"/>
              <dgm:constr type="l" for="ch" forName="vertSpace4"/>
              <dgm:constr type="w" for="ch" forName="vertSpace4" refType="w"/>
              <dgm:constr type="h" for="ch" forName="vertSpace4" refType="h" refFor="ch" refForName="vertSpace3"/>
              <dgm:constr type="b" for="ch" forName="vertSpace4" refType="t" refFor="ch" refForName="vertSpace3"/>
              <dgm:constr type="ctrX" for="ch" forName="circle4" refType="r" refFor="ch" refForName="space"/>
              <dgm:constr type="h" for="ch" forName="circle4" refType="h" refFor="ch" refForName="circle1" fact="0.4"/>
              <dgm:constr type="hOff" for="ch" forName="circle4" refType="h" refFor="ch" refForName="vertSpace2" fact="-0.6"/>
              <dgm:constr type="w" for="ch" forName="circle4" refType="h" refFor="ch" refForName="circle4" op="equ"/>
              <dgm:constr type="wOff" for="ch" forName="circle4" refType="hOff" refFor="ch" refForName="circle4" op="equ"/>
              <dgm:constr type="b" for="ch" forName="circle4" refType="t" refFor="ch" refForName="vertSpace4"/>
              <dgm:constr type="r" for="ch" forName="rect4" refType="l" refFor="ch" refForName="space"/>
              <dgm:constr type="l" for="ch" forName="rect4"/>
              <dgm:constr type="h" for="ch" forName="rect4" refType="h" refFor="ch" refForName="circle4"/>
              <dgm:constr type="hOff" for="ch" forName="rect4" refType="hOff" refFor="ch" refForName="circle4"/>
              <dgm:constr type="b" for="ch" forName="rect4" refType="b" refFor="ch" refForName="circle4"/>
              <dgm:constr type="l" for="ch" forName="vertSpace5"/>
              <dgm:constr type="w" for="ch" forName="vertSpace5" refType="w"/>
              <dgm:constr type="h" for="ch" forName="vertSpace5" refType="h" refFor="ch" refForName="vertSpace4"/>
              <dgm:constr type="b" for="ch" forName="vertSpace5" refType="t" refFor="ch" refForName="vertSpace4"/>
              <dgm:constr type="ctrX" for="ch" forName="circle5" refType="r" refFor="ch" refForName="space"/>
              <dgm:constr type="h" for="ch" forName="circle5" refType="h" refFor="ch" refForName="circle1" fact="0.2"/>
              <dgm:constr type="hOff" for="ch" forName="circle5" refType="h" refFor="ch" refForName="vertSpace2" fact="-0.8"/>
              <dgm:constr type="w" for="ch" forName="circle5" refType="h" refFor="ch" refForName="circle5" op="equ"/>
              <dgm:constr type="wOff" for="ch" forName="circle5" refType="hOff" refFor="ch" refForName="circle5" op="equ"/>
              <dgm:constr type="b" for="ch" forName="circle5" refType="t" refFor="ch" refForName="vertSpace5"/>
              <dgm:constr type="r" for="ch" forName="rect5" refType="l" refFor="ch" refForName="space"/>
              <dgm:constr type="l" for="ch" forName="rect5"/>
              <dgm:constr type="h" for="ch" forName="rect5" refType="h" refFor="ch" refForName="circle5"/>
              <dgm:constr type="hOff" for="ch" forName="rect5" refType="hOff" refFor="ch" refForName="circle5"/>
              <dgm:constr type="b" for="ch" forName="rect5" refType="b" refFor="ch" refForName="circle5"/>
              <dgm:constr type="r" for="ch" forName="rect5ParTx" refType="l" refFor="ch" refForName="space"/>
              <dgm:constr type="w" for="ch" forName="rect5ParTx" refType="w" refFor="ch" refForName="rect5" fact="0.5"/>
              <dgm:constr type="t" for="ch" forName="rect5ParTx" refType="t" refFor="ch" refForName="rect5"/>
              <dgm:constr type="b" for="ch" forName="rect5ParTx" refType="b" refFor="ch" refForName="rect5"/>
              <dgm:constr type="r" for="ch" forName="rect5ChTx" refType="l" refFor="ch" refForName="rect5ParTx"/>
              <dgm:constr type="w" for="ch" forName="rect5ChTx" refType="w" refFor="ch" refForName="rect5ParTx"/>
              <dgm:constr type="t" for="ch" forName="rect5ChTx" refType="t" refFor="ch" refForName="rect5ParTx"/>
              <dgm:constr type="b" for="ch" forName="rect5ChTx" refType="b" refFor="ch" refForName="rect5ParTx"/>
              <dgm:constr type="r" for="ch" forName="rect5ParTxNoCh" refType="l" refFor="ch" refForName="space"/>
              <dgm:constr type="w" for="ch" forName="rect5ParTxNoCh" refType="w" refFor="ch" refForName="rect5"/>
              <dgm:constr type="t" for="ch" forName="rect5ParTxNoCh" refType="t" refFor="ch" refForName="rect5"/>
              <dgm:constr type="b" for="ch" forName="rect5ParTxNoCh" refType="b" refFor="ch" refForName="rect5"/>
              <dgm:constr type="r" for="ch" forName="rect1ParTx" refType="l" refFor="ch" refForName="space"/>
              <dgm:constr type="w" for="ch" forName="rect1ParTx" refType="w" refFor="ch" refForName="rect1" fact="0.5"/>
              <dgm:constr type="t" for="ch" forName="rect1ParTx" refType="t" refFor="ch" refForName="rect1"/>
              <dgm:constr type="b" for="ch" forName="rect1ParTx" refType="t" refFor="ch" refForName="rect2"/>
              <dgm:constr type="r" for="ch" forName="rect1ChTx" refType="l" refFor="ch" refForName="rect1ParTx"/>
              <dgm:constr type="w" for="ch" forName="rect1ChTx" refType="w" refFor="ch" refForName="rect1ParTx"/>
              <dgm:constr type="t" for="ch" forName="rect1ChTx" refType="t" refFor="ch" refForName="rect1ParTx"/>
              <dgm:constr type="b" for="ch" forName="rect1ChTx" refType="b" refFor="ch" refForName="rect1ParTx"/>
              <dgm:constr type="r" for="ch" forName="rect1ParTxNoCh" refType="l" refFor="ch" refForName="space"/>
              <dgm:constr type="w" for="ch" forName="rect1ParTxNoCh" refType="w" refFor="ch" refForName="rect1"/>
              <dgm:constr type="t" for="ch" forName="rect1ParTxNoCh" refType="t" refFor="ch" refForName="rect1"/>
              <dgm:constr type="b" for="ch" forName="rect1ParTxNoCh" refType="t" refFor="ch" refForName="rect2"/>
              <dgm:constr type="r" for="ch" forName="rect2ParTx" refType="l" refFor="ch" refForName="space"/>
              <dgm:constr type="w" for="ch" forName="rect2ParTx" refType="w" refFor="ch" refForName="rect2" fact="0.5"/>
              <dgm:constr type="t" for="ch" forName="rect2ParTx" refType="t" refFor="ch" refForName="rect2"/>
              <dgm:constr type="b" for="ch" forName="rect2ParTx" refType="t" refFor="ch" refForName="rect3"/>
              <dgm:constr type="r" for="ch" forName="rect2ChTx" refType="l" refFor="ch" refForName="rect2ParTx"/>
              <dgm:constr type="w" for="ch" forName="rect2ChTx" refType="w" refFor="ch" refForName="rect2ParTx"/>
              <dgm:constr type="t" for="ch" forName="rect2ChTx" refType="t" refFor="ch" refForName="rect2ParTx"/>
              <dgm:constr type="b" for="ch" forName="rect2ChTx" refType="b" refFor="ch" refForName="rect2ParTx"/>
              <dgm:constr type="r" for="ch" forName="rect2ParTxNoCh" refType="l" refFor="ch" refForName="space"/>
              <dgm:constr type="w" for="ch" forName="rect2ParTxNoCh" refType="w" refFor="ch" refForName="rect2"/>
              <dgm:constr type="t" for="ch" forName="rect2ParTxNoCh" refType="t" refFor="ch" refForName="rect2"/>
              <dgm:constr type="b" for="ch" forName="rect2ParTxNoCh" refType="t" refFor="ch" refForName="rect3"/>
              <dgm:constr type="r" for="ch" forName="rect3ParTx" refType="l" refFor="ch" refForName="space"/>
              <dgm:constr type="w" for="ch" forName="rect3ParTx" refType="w" refFor="ch" refForName="rect3" fact="0.5"/>
              <dgm:constr type="t" for="ch" forName="rect3ParTx" refType="t" refFor="ch" refForName="rect3"/>
              <dgm:constr type="b" for="ch" forName="rect3ParTx" refType="t" refFor="ch" refForName="rect4"/>
              <dgm:constr type="r" for="ch" forName="rect3ChTx" refType="l" refFor="ch" refForName="rect3ParTx"/>
              <dgm:constr type="w" for="ch" forName="rect3ChTx" refType="w" refFor="ch" refForName="rect3ParTx"/>
              <dgm:constr type="t" for="ch" forName="rect3ChTx" refType="t" refFor="ch" refForName="rect3ParTx"/>
              <dgm:constr type="b" for="ch" forName="rect3ChTx" refType="b" refFor="ch" refForName="rect3ParTx"/>
              <dgm:constr type="r" for="ch" forName="rect3ParTxNoCh" refType="l" refFor="ch" refForName="space"/>
              <dgm:constr type="w" for="ch" forName="rect3ParTxNoCh" refType="w" refFor="ch" refForName="rect3"/>
              <dgm:constr type="t" for="ch" forName="rect3ParTxNoCh" refType="t" refFor="ch" refForName="rect3"/>
              <dgm:constr type="b" for="ch" forName="rect3ParTxNoCh" refType="t" refFor="ch" refForName="rect4"/>
              <dgm:constr type="r" for="ch" forName="rect4ParTx" refType="l" refFor="ch" refForName="space"/>
              <dgm:constr type="w" for="ch" forName="rect4ParTx" refType="w" refFor="ch" refForName="rect4" fact="0.5"/>
              <dgm:constr type="t" for="ch" forName="rect4ParTx" refType="t" refFor="ch" refForName="rect4"/>
              <dgm:constr type="b" for="ch" forName="rect4ParTx" refType="t" refFor="ch" refForName="rect5"/>
              <dgm:constr type="r" for="ch" forName="rect4ChTx" refType="l" refFor="ch" refForName="rect4ParTx"/>
              <dgm:constr type="w" for="ch" forName="rect4ChTx" refType="w" refFor="ch" refForName="rect4ParTx"/>
              <dgm:constr type="t" for="ch" forName="rect4ChTx" refType="t" refFor="ch" refForName="rect4ParTx"/>
              <dgm:constr type="b" for="ch" forName="rect4ChTx" refType="b" refFor="ch" refForName="rect4ParTx"/>
              <dgm:constr type="r" for="ch" forName="rect4ParTxNoCh" refType="l" refFor="ch" refForName="space"/>
              <dgm:constr type="w" for="ch" forName="rect4ParTxNoCh" refType="w" refFor="ch" refForName="rect4"/>
              <dgm:constr type="t" for="ch" forName="rect4ParTxNoCh" refType="t" refFor="ch" refForName="rect4"/>
              <dgm:constr type="b" for="ch" forName="rect4ParTxNoCh" refType="t" refFor="ch" refForName="rect5"/>
              <dgm:constr type="primFontSz" for="ch" op="equ" val="65"/>
              <dgm:constr type="secFontSz" for="ch" op="equ" val="65"/>
            </dgm:constrLst>
          </dgm:if>
          <dgm:if name="Name19" axis="ch" ptType="node" func="cnt" op="equ" val="6">
            <dgm:constrLst>
              <dgm:constr type="userA" refType="w" fact="0.3"/>
              <dgm:constr type="w" for="ch" forName="circle1" refType="userA" fact="2"/>
              <dgm:constr type="h" for="ch" forName="circle1" refType="w" refFor="ch" refForName="circle1" op="equ"/>
              <dgm:constr type="r" for="ch" forName="circle1" refType="w"/>
              <dgm:constr type="ctrY" for="ch" forName="circle1" refType="h" fact="0.5"/>
              <dgm:constr type="r" for="ch" forName="space" refType="ctrX" refFor="ch" refForName="circle1"/>
              <dgm:constr type="w" for="ch" forName="space"/>
              <dgm:constr type="h" for="ch" forName="space" refType="h" refFor="ch" refForName="circle1"/>
              <dgm:constr type="b" for="ch" forName="space" refType="b" refFor="ch" refForName="circle1"/>
              <dgm:constr type="r" for="ch" forName="rect1" refType="l" refFor="ch" refForName="space"/>
              <dgm:constr type="l" for="ch" forName="rect1"/>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r" refFor="ch" refForName="space"/>
              <dgm:constr type="h" for="ch" forName="circle2" refType="h" refFor="ch" refForName="circle1" fact="0.83333"/>
              <dgm:constr type="hOff" for="ch" forName="circle2" refType="h" refFor="ch" refForName="vertSpace2" fact="-0.16667"/>
              <dgm:constr type="w" for="ch" forName="circle2" refType="h" refFor="ch" refForName="circle2" op="equ"/>
              <dgm:constr type="wOff" for="ch" forName="circle2" refType="hOff" refFor="ch" refForName="circle2" op="equ"/>
              <dgm:constr type="b" for="ch" forName="circle2" refType="t" refFor="ch" refForName="vertSpace2"/>
              <dgm:constr type="r" for="ch" forName="rect2" refType="l" refFor="ch" refForName="space"/>
              <dgm:constr type="l" for="ch" forName="rect2"/>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r" refFor="ch" refForName="space"/>
              <dgm:constr type="h" for="ch" forName="circle3" refType="h" refFor="ch" refForName="circle1" fact="0.66667"/>
              <dgm:constr type="hOff" for="ch" forName="circle3" refType="h" refFor="ch" refForName="vertSpace2" fact="-0.33333"/>
              <dgm:constr type="w" for="ch" forName="circle3" refType="h" refFor="ch" refForName="circle3" op="equ"/>
              <dgm:constr type="wOff" for="ch" forName="circle3" refType="hOff" refFor="ch" refForName="circle3" op="equ"/>
              <dgm:constr type="b" for="ch" forName="circle3" refType="t" refFor="ch" refForName="vertSpace3"/>
              <dgm:constr type="r" for="ch" forName="rect3" refType="l" refFor="ch" refForName="space"/>
              <dgm:constr type="l" for="ch" forName="rect3"/>
              <dgm:constr type="h" for="ch" forName="rect3" refType="h" refFor="ch" refForName="circle3"/>
              <dgm:constr type="hOff" for="ch" forName="rect3" refType="hOff" refFor="ch" refForName="circle3"/>
              <dgm:constr type="b" for="ch" forName="rect3" refType="b" refFor="ch" refForName="circle3"/>
              <dgm:constr type="l" for="ch" forName="vertSpace4"/>
              <dgm:constr type="w" for="ch" forName="vertSpace4" refType="w"/>
              <dgm:constr type="h" for="ch" forName="vertSpace4" refType="h" refFor="ch" refForName="vertSpace3"/>
              <dgm:constr type="b" for="ch" forName="vertSpace4" refType="t" refFor="ch" refForName="vertSpace3"/>
              <dgm:constr type="ctrX" for="ch" forName="circle4" refType="r" refFor="ch" refForName="space"/>
              <dgm:constr type="h" for="ch" forName="circle4" refType="h" refFor="ch" refForName="circle1" fact="0.5"/>
              <dgm:constr type="hOff" for="ch" forName="circle4" refType="h" refFor="ch" refForName="vertSpace2" fact="-0.5"/>
              <dgm:constr type="w" for="ch" forName="circle4" refType="h" refFor="ch" refForName="circle4" op="equ"/>
              <dgm:constr type="wOff" for="ch" forName="circle4" refType="hOff" refFor="ch" refForName="circle4" op="equ"/>
              <dgm:constr type="b" for="ch" forName="circle4" refType="t" refFor="ch" refForName="vertSpace4"/>
              <dgm:constr type="r" for="ch" forName="rect4" refType="l" refFor="ch" refForName="space"/>
              <dgm:constr type="l" for="ch" forName="rect4"/>
              <dgm:constr type="h" for="ch" forName="rect4" refType="h" refFor="ch" refForName="circle4"/>
              <dgm:constr type="hOff" for="ch" forName="rect4" refType="hOff" refFor="ch" refForName="circle4"/>
              <dgm:constr type="b" for="ch" forName="rect4" refType="b" refFor="ch" refForName="circle4"/>
              <dgm:constr type="l" for="ch" forName="vertSpace5"/>
              <dgm:constr type="w" for="ch" forName="vertSpace5" refType="w"/>
              <dgm:constr type="h" for="ch" forName="vertSpace5" refType="h" refFor="ch" refForName="vertSpace4"/>
              <dgm:constr type="b" for="ch" forName="vertSpace5" refType="t" refFor="ch" refForName="vertSpace4"/>
              <dgm:constr type="ctrX" for="ch" forName="circle5" refType="r" refFor="ch" refForName="space"/>
              <dgm:constr type="h" for="ch" forName="circle5" refType="h" refFor="ch" refForName="circle1" fact="0.33333"/>
              <dgm:constr type="hOff" for="ch" forName="circle5" refType="h" refFor="ch" refForName="vertSpace2" fact="-0.66667"/>
              <dgm:constr type="w" for="ch" forName="circle5" refType="h" refFor="ch" refForName="circle5" op="equ"/>
              <dgm:constr type="wOff" for="ch" forName="circle5" refType="hOff" refFor="ch" refForName="circle5" op="equ"/>
              <dgm:constr type="b" for="ch" forName="circle5" refType="t" refFor="ch" refForName="vertSpace5"/>
              <dgm:constr type="r" for="ch" forName="rect5" refType="l" refFor="ch" refForName="space"/>
              <dgm:constr type="l" for="ch" forName="rect5"/>
              <dgm:constr type="h" for="ch" forName="rect5" refType="h" refFor="ch" refForName="circle5"/>
              <dgm:constr type="hOff" for="ch" forName="rect5" refType="hOff" refFor="ch" refForName="circle5"/>
              <dgm:constr type="b" for="ch" forName="rect5" refType="b" refFor="ch" refForName="circle5"/>
              <dgm:constr type="l" for="ch" forName="vertSpace6"/>
              <dgm:constr type="w" for="ch" forName="vertSpace6" refType="w"/>
              <dgm:constr type="h" for="ch" forName="vertSpace6" refType="h" refFor="ch" refForName="vertSpace5"/>
              <dgm:constr type="b" for="ch" forName="vertSpace6" refType="t" refFor="ch" refForName="vertSpace5"/>
              <dgm:constr type="ctrX" for="ch" forName="circle6" refType="r" refFor="ch" refForName="space"/>
              <dgm:constr type="h" for="ch" forName="circle6" refType="h" refFor="ch" refForName="circle1" fact="0.16667"/>
              <dgm:constr type="hOff" for="ch" forName="circle6" refType="h" refFor="ch" refForName="vertSpace2" fact="-0.83333"/>
              <dgm:constr type="w" for="ch" forName="circle6" refType="h" refFor="ch" refForName="circle6" op="equ"/>
              <dgm:constr type="wOff" for="ch" forName="circle6" refType="hOff" refFor="ch" refForName="circle6" op="equ"/>
              <dgm:constr type="b" for="ch" forName="circle6" refType="t" refFor="ch" refForName="vertSpace6"/>
              <dgm:constr type="r" for="ch" forName="rect6" refType="l" refFor="ch" refForName="space"/>
              <dgm:constr type="l" for="ch" forName="rect6"/>
              <dgm:constr type="h" for="ch" forName="rect6" refType="h" refFor="ch" refForName="circle6"/>
              <dgm:constr type="hOff" for="ch" forName="rect6" refType="hOff" refFor="ch" refForName="circle6"/>
              <dgm:constr type="b" for="ch" forName="rect6" refType="b" refFor="ch" refForName="circle6"/>
              <dgm:constr type="r" for="ch" forName="rect6ParTx" refType="l" refFor="ch" refForName="space"/>
              <dgm:constr type="w" for="ch" forName="rect6ParTx" refType="w" refFor="ch" refForName="rect6" fact="0.5"/>
              <dgm:constr type="t" for="ch" forName="rect6ParTx" refType="t" refFor="ch" refForName="rect6"/>
              <dgm:constr type="b" for="ch" forName="rect6ParTx" refType="b" refFor="ch" refForName="rect6"/>
              <dgm:constr type="r" for="ch" forName="rect6ChTx" refType="l" refFor="ch" refForName="rect6ParTx"/>
              <dgm:constr type="w" for="ch" forName="rect6ChTx" refType="w" refFor="ch" refForName="rect6ParTx"/>
              <dgm:constr type="t" for="ch" forName="rect6ChTx" refType="t" refFor="ch" refForName="rect6ParTx"/>
              <dgm:constr type="b" for="ch" forName="rect6ChTx" refType="b" refFor="ch" refForName="rect6ParTx"/>
              <dgm:constr type="r" for="ch" forName="rect6ParTxNoCh" refType="l" refFor="ch" refForName="space"/>
              <dgm:constr type="w" for="ch" forName="rect6ParTxNoCh" refType="w" refFor="ch" refForName="rect6"/>
              <dgm:constr type="t" for="ch" forName="rect6ParTxNoCh" refType="t" refFor="ch" refForName="rect6"/>
              <dgm:constr type="b" for="ch" forName="rect6ParTxNoCh" refType="b" refFor="ch" refForName="rect6"/>
              <dgm:constr type="r" for="ch" forName="rect1ParTx" refType="l" refFor="ch" refForName="space"/>
              <dgm:constr type="w" for="ch" forName="rect1ParTx" refType="w" refFor="ch" refForName="rect1" fact="0.5"/>
              <dgm:constr type="t" for="ch" forName="rect1ParTx" refType="t" refFor="ch" refForName="rect1"/>
              <dgm:constr type="b" for="ch" forName="rect1ParTx" refType="t" refFor="ch" refForName="rect2"/>
              <dgm:constr type="r" for="ch" forName="rect1ChTx" refType="l" refFor="ch" refForName="rect1ParTx"/>
              <dgm:constr type="w" for="ch" forName="rect1ChTx" refType="w" refFor="ch" refForName="rect1ParTx"/>
              <dgm:constr type="t" for="ch" forName="rect1ChTx" refType="t" refFor="ch" refForName="rect1ParTx"/>
              <dgm:constr type="b" for="ch" forName="rect1ChTx" refType="b" refFor="ch" refForName="rect1ParTx"/>
              <dgm:constr type="r" for="ch" forName="rect1ParTxNoCh" refType="l" refFor="ch" refForName="space"/>
              <dgm:constr type="w" for="ch" forName="rect1ParTxNoCh" refType="w" refFor="ch" refForName="rect1"/>
              <dgm:constr type="t" for="ch" forName="rect1ParTxNoCh" refType="t" refFor="ch" refForName="rect1"/>
              <dgm:constr type="b" for="ch" forName="rect1ParTxNoCh" refType="t" refFor="ch" refForName="rect2"/>
              <dgm:constr type="r" for="ch" forName="rect2ParTx" refType="l" refFor="ch" refForName="space"/>
              <dgm:constr type="w" for="ch" forName="rect2ParTx" refType="w" refFor="ch" refForName="rect2" fact="0.5"/>
              <dgm:constr type="t" for="ch" forName="rect2ParTx" refType="t" refFor="ch" refForName="rect2"/>
              <dgm:constr type="b" for="ch" forName="rect2ParTx" refType="t" refFor="ch" refForName="rect3"/>
              <dgm:constr type="r" for="ch" forName="rect2ChTx" refType="l" refFor="ch" refForName="rect2ParTx"/>
              <dgm:constr type="w" for="ch" forName="rect2ChTx" refType="w" refFor="ch" refForName="rect2ParTx"/>
              <dgm:constr type="t" for="ch" forName="rect2ChTx" refType="t" refFor="ch" refForName="rect2ParTx"/>
              <dgm:constr type="b" for="ch" forName="rect2ChTx" refType="b" refFor="ch" refForName="rect2ParTx"/>
              <dgm:constr type="r" for="ch" forName="rect2ParTxNoCh" refType="l" refFor="ch" refForName="space"/>
              <dgm:constr type="w" for="ch" forName="rect2ParTxNoCh" refType="w" refFor="ch" refForName="rect2"/>
              <dgm:constr type="t" for="ch" forName="rect2ParTxNoCh" refType="t" refFor="ch" refForName="rect2"/>
              <dgm:constr type="b" for="ch" forName="rect2ParTxNoCh" refType="t" refFor="ch" refForName="rect3"/>
              <dgm:constr type="r" for="ch" forName="rect3ParTx" refType="l" refFor="ch" refForName="space"/>
              <dgm:constr type="w" for="ch" forName="rect3ParTx" refType="w" refFor="ch" refForName="rect3" fact="0.5"/>
              <dgm:constr type="t" for="ch" forName="rect3ParTx" refType="t" refFor="ch" refForName="rect3"/>
              <dgm:constr type="b" for="ch" forName="rect3ParTx" refType="t" refFor="ch" refForName="rect4"/>
              <dgm:constr type="r" for="ch" forName="rect3ChTx" refType="l" refFor="ch" refForName="rect3ParTx"/>
              <dgm:constr type="w" for="ch" forName="rect3ChTx" refType="w" refFor="ch" refForName="rect3ParTx"/>
              <dgm:constr type="t" for="ch" forName="rect3ChTx" refType="t" refFor="ch" refForName="rect3ParTx"/>
              <dgm:constr type="b" for="ch" forName="rect3ChTx" refType="b" refFor="ch" refForName="rect3ParTx"/>
              <dgm:constr type="r" for="ch" forName="rect3ParTxNoCh" refType="l" refFor="ch" refForName="space"/>
              <dgm:constr type="w" for="ch" forName="rect3ParTxNoCh" refType="w" refFor="ch" refForName="rect3"/>
              <dgm:constr type="t" for="ch" forName="rect3ParTxNoCh" refType="t" refFor="ch" refForName="rect3"/>
              <dgm:constr type="b" for="ch" forName="rect3ParTxNoCh" refType="t" refFor="ch" refForName="rect4"/>
              <dgm:constr type="r" for="ch" forName="rect4ParTx" refType="l" refFor="ch" refForName="space"/>
              <dgm:constr type="w" for="ch" forName="rect4ParTx" refType="w" refFor="ch" refForName="rect4" fact="0.5"/>
              <dgm:constr type="t" for="ch" forName="rect4ParTx" refType="t" refFor="ch" refForName="rect4"/>
              <dgm:constr type="b" for="ch" forName="rect4ParTx" refType="t" refFor="ch" refForName="rect5"/>
              <dgm:constr type="r" for="ch" forName="rect4ChTx" refType="l" refFor="ch" refForName="rect4ParTx"/>
              <dgm:constr type="w" for="ch" forName="rect4ChTx" refType="w" refFor="ch" refForName="rect4ParTx"/>
              <dgm:constr type="t" for="ch" forName="rect4ChTx" refType="t" refFor="ch" refForName="rect4ParTx"/>
              <dgm:constr type="b" for="ch" forName="rect4ChTx" refType="b" refFor="ch" refForName="rect4ParTx"/>
              <dgm:constr type="r" for="ch" forName="rect4ParTxNoCh" refType="l" refFor="ch" refForName="space"/>
              <dgm:constr type="w" for="ch" forName="rect4ParTxNoCh" refType="w" refFor="ch" refForName="rect4"/>
              <dgm:constr type="t" for="ch" forName="rect4ParTxNoCh" refType="t" refFor="ch" refForName="rect4"/>
              <dgm:constr type="b" for="ch" forName="rect4ParTxNoCh" refType="t" refFor="ch" refForName="rect5"/>
              <dgm:constr type="r" for="ch" forName="rect5ParTx" refType="l" refFor="ch" refForName="space"/>
              <dgm:constr type="w" for="ch" forName="rect5ParTx" refType="w" refFor="ch" refForName="rect5" fact="0.5"/>
              <dgm:constr type="t" for="ch" forName="rect5ParTx" refType="t" refFor="ch" refForName="rect5"/>
              <dgm:constr type="b" for="ch" forName="rect5ParTx" refType="t" refFor="ch" refForName="rect6"/>
              <dgm:constr type="r" for="ch" forName="rect5ChTx" refType="l" refFor="ch" refForName="rect5ParTx"/>
              <dgm:constr type="w" for="ch" forName="rect5ChTx" refType="w" refFor="ch" refForName="rect5ParTx"/>
              <dgm:constr type="t" for="ch" forName="rect5ChTx" refType="t" refFor="ch" refForName="rect5ParTx"/>
              <dgm:constr type="b" for="ch" forName="rect5ChTx" refType="b" refFor="ch" refForName="rect5ParTx"/>
              <dgm:constr type="r" for="ch" forName="rect5ParTxNoCh" refType="l" refFor="ch" refForName="space"/>
              <dgm:constr type="w" for="ch" forName="rect5ParTxNoCh" refType="w" refFor="ch" refForName="rect5"/>
              <dgm:constr type="t" for="ch" forName="rect5ParTxNoCh" refType="t" refFor="ch" refForName="rect5"/>
              <dgm:constr type="b" for="ch" forName="rect5ParTxNoCh" refType="t" refFor="ch" refForName="rect6"/>
              <dgm:constr type="primFontSz" for="ch" op="equ" val="65"/>
              <dgm:constr type="secFontSz" for="ch" op="equ" val="65"/>
            </dgm:constrLst>
          </dgm:if>
          <dgm:if name="Name20" axis="ch" ptType="node" func="cnt" op="gte" val="7">
            <dgm:constrLst>
              <dgm:constr type="userA" refType="w" fact="0.3"/>
              <dgm:constr type="w" for="ch" forName="circle1" refType="userA" fact="2"/>
              <dgm:constr type="h" for="ch" forName="circle1" refType="w" refFor="ch" refForName="circle1" op="equ"/>
              <dgm:constr type="r" for="ch" forName="circle1" refType="w"/>
              <dgm:constr type="ctrY" for="ch" forName="circle1" refType="h" fact="0.5"/>
              <dgm:constr type="r" for="ch" forName="space" refType="ctrX" refFor="ch" refForName="circle1"/>
              <dgm:constr type="w" for="ch" forName="space"/>
              <dgm:constr type="h" for="ch" forName="space" refType="h" refFor="ch" refForName="circle1"/>
              <dgm:constr type="b" for="ch" forName="space" refType="b" refFor="ch" refForName="circle1"/>
              <dgm:constr type="r" for="ch" forName="rect1" refType="l" refFor="ch" refForName="space"/>
              <dgm:constr type="l" for="ch" forName="rect1"/>
              <dgm:constr type="h" for="ch" forName="rect1" refType="h" refFor="ch" refForName="circle1"/>
              <dgm:constr type="b" for="ch" forName="rect1" refType="b" refFor="ch" refForName="circle1"/>
              <dgm:constr type="l" for="ch" forName="vertSpace2"/>
              <dgm:constr type="w" for="ch" forName="vertSpace2" refType="w"/>
              <dgm:constr type="h" for="ch" forName="vertSpace2" refType="h" refFor="ch" refForName="circle1" fact="0.05"/>
              <dgm:constr type="b" for="ch" forName="vertSpace2" refType="b" refFor="ch" refForName="circle1"/>
              <dgm:constr type="ctrX" for="ch" forName="circle2" refType="r" refFor="ch" refForName="space"/>
              <dgm:constr type="h" for="ch" forName="circle2" refType="h" refFor="ch" refForName="circle1" fact="0.85714"/>
              <dgm:constr type="hOff" for="ch" forName="circle2" refType="h" refFor="ch" refForName="vertSpace2" fact="-0.14286"/>
              <dgm:constr type="w" for="ch" forName="circle2" refType="h" refFor="ch" refForName="circle2" op="equ"/>
              <dgm:constr type="wOff" for="ch" forName="circle2" refType="hOff" refFor="ch" refForName="circle2" op="equ"/>
              <dgm:constr type="b" for="ch" forName="circle2" refType="t" refFor="ch" refForName="vertSpace2"/>
              <dgm:constr type="r" for="ch" forName="rect2" refType="l" refFor="ch" refForName="space"/>
              <dgm:constr type="l" for="ch" forName="rect2"/>
              <dgm:constr type="h" for="ch" forName="rect2" refType="h" refFor="ch" refForName="circle2"/>
              <dgm:constr type="hOff" for="ch" forName="rect2" refType="hOff" refFor="ch" refForName="circle2"/>
              <dgm:constr type="b" for="ch" forName="rect2" refType="b" refFor="ch" refForName="circle2"/>
              <dgm:constr type="l" for="ch" forName="vertSpace3"/>
              <dgm:constr type="w" for="ch" forName="vertSpace3" refType="w"/>
              <dgm:constr type="h" for="ch" forName="vertSpace3" refType="h" refFor="ch" refForName="vertSpace2"/>
              <dgm:constr type="b" for="ch" forName="vertSpace3" refType="t" refFor="ch" refForName="vertSpace2"/>
              <dgm:constr type="ctrX" for="ch" forName="circle3" refType="r" refFor="ch" refForName="space"/>
              <dgm:constr type="h" for="ch" forName="circle3" refType="h" refFor="ch" refForName="circle1" fact="0.71429"/>
              <dgm:constr type="hOff" for="ch" forName="circle3" refType="h" refFor="ch" refForName="vertSpace2" fact="-0.28571"/>
              <dgm:constr type="w" for="ch" forName="circle3" refType="h" refFor="ch" refForName="circle3" op="equ"/>
              <dgm:constr type="wOff" for="ch" forName="circle3" refType="hOff" refFor="ch" refForName="circle3" op="equ"/>
              <dgm:constr type="b" for="ch" forName="circle3" refType="t" refFor="ch" refForName="vertSpace3"/>
              <dgm:constr type="r" for="ch" forName="rect3" refType="l" refFor="ch" refForName="space"/>
              <dgm:constr type="l" for="ch" forName="rect3"/>
              <dgm:constr type="h" for="ch" forName="rect3" refType="h" refFor="ch" refForName="circle3"/>
              <dgm:constr type="hOff" for="ch" forName="rect3" refType="hOff" refFor="ch" refForName="circle3"/>
              <dgm:constr type="b" for="ch" forName="rect3" refType="b" refFor="ch" refForName="circle3"/>
              <dgm:constr type="l" for="ch" forName="vertSpace4"/>
              <dgm:constr type="w" for="ch" forName="vertSpace4" refType="w"/>
              <dgm:constr type="h" for="ch" forName="vertSpace4" refType="h" refFor="ch" refForName="vertSpace3"/>
              <dgm:constr type="b" for="ch" forName="vertSpace4" refType="t" refFor="ch" refForName="vertSpace3"/>
              <dgm:constr type="ctrX" for="ch" forName="circle4" refType="r" refFor="ch" refForName="space"/>
              <dgm:constr type="h" for="ch" forName="circle4" refType="h" refFor="ch" refForName="circle1" fact="0.57143"/>
              <dgm:constr type="hOff" for="ch" forName="circle4" refType="h" refFor="ch" refForName="vertSpace2" fact="-0.42857"/>
              <dgm:constr type="w" for="ch" forName="circle4" refType="h" refFor="ch" refForName="circle4" op="equ"/>
              <dgm:constr type="wOff" for="ch" forName="circle4" refType="hOff" refFor="ch" refForName="circle4" op="equ"/>
              <dgm:constr type="b" for="ch" forName="circle4" refType="t" refFor="ch" refForName="vertSpace4"/>
              <dgm:constr type="r" for="ch" forName="rect4" refType="l" refFor="ch" refForName="space"/>
              <dgm:constr type="l" for="ch" forName="rect4"/>
              <dgm:constr type="h" for="ch" forName="rect4" refType="h" refFor="ch" refForName="circle4"/>
              <dgm:constr type="hOff" for="ch" forName="rect4" refType="hOff" refFor="ch" refForName="circle4"/>
              <dgm:constr type="b" for="ch" forName="rect4" refType="b" refFor="ch" refForName="circle4"/>
              <dgm:constr type="l" for="ch" forName="vertSpace5"/>
              <dgm:constr type="w" for="ch" forName="vertSpace5" refType="w"/>
              <dgm:constr type="h" for="ch" forName="vertSpace5" refType="h" refFor="ch" refForName="vertSpace4"/>
              <dgm:constr type="b" for="ch" forName="vertSpace5" refType="t" refFor="ch" refForName="vertSpace4"/>
              <dgm:constr type="ctrX" for="ch" forName="circle5" refType="r" refFor="ch" refForName="space"/>
              <dgm:constr type="h" for="ch" forName="circle5" refType="h" refFor="ch" refForName="circle1" fact="0.42857"/>
              <dgm:constr type="hOff" for="ch" forName="circle5" refType="h" refFor="ch" refForName="vertSpace2" fact="-0.57143"/>
              <dgm:constr type="w" for="ch" forName="circle5" refType="h" refFor="ch" refForName="circle5" op="equ"/>
              <dgm:constr type="wOff" for="ch" forName="circle5" refType="hOff" refFor="ch" refForName="circle5" op="equ"/>
              <dgm:constr type="b" for="ch" forName="circle5" refType="t" refFor="ch" refForName="vertSpace5"/>
              <dgm:constr type="r" for="ch" forName="rect5" refType="l" refFor="ch" refForName="space"/>
              <dgm:constr type="l" for="ch" forName="rect5"/>
              <dgm:constr type="h" for="ch" forName="rect5" refType="h" refFor="ch" refForName="circle5"/>
              <dgm:constr type="hOff" for="ch" forName="rect5" refType="hOff" refFor="ch" refForName="circle5"/>
              <dgm:constr type="b" for="ch" forName="rect5" refType="b" refFor="ch" refForName="circle5"/>
              <dgm:constr type="l" for="ch" forName="vertSpace6"/>
              <dgm:constr type="w" for="ch" forName="vertSpace6" refType="w"/>
              <dgm:constr type="h" for="ch" forName="vertSpace6" refType="h" refFor="ch" refForName="vertSpace5"/>
              <dgm:constr type="b" for="ch" forName="vertSpace6" refType="t" refFor="ch" refForName="vertSpace5"/>
              <dgm:constr type="ctrX" for="ch" forName="circle6" refType="r" refFor="ch" refForName="space"/>
              <dgm:constr type="h" for="ch" forName="circle6" refType="h" refFor="ch" refForName="circle1" fact="0.28571"/>
              <dgm:constr type="hOff" for="ch" forName="circle6" refType="h" refFor="ch" refForName="vertSpace2" fact="-0.71429"/>
              <dgm:constr type="w" for="ch" forName="circle6" refType="h" refFor="ch" refForName="circle6" op="equ"/>
              <dgm:constr type="wOff" for="ch" forName="circle6" refType="hOff" refFor="ch" refForName="circle6" op="equ"/>
              <dgm:constr type="b" for="ch" forName="circle6" refType="t" refFor="ch" refForName="vertSpace6"/>
              <dgm:constr type="r" for="ch" forName="rect6" refType="l" refFor="ch" refForName="space"/>
              <dgm:constr type="l" for="ch" forName="rect6"/>
              <dgm:constr type="h" for="ch" forName="rect6" refType="h" refFor="ch" refForName="circle6"/>
              <dgm:constr type="hOff" for="ch" forName="rect6" refType="hOff" refFor="ch" refForName="circle6"/>
              <dgm:constr type="b" for="ch" forName="rect6" refType="b" refFor="ch" refForName="circle6"/>
              <dgm:constr type="l" for="ch" forName="vertSpace7"/>
              <dgm:constr type="w" for="ch" forName="vertSpace7" refType="w"/>
              <dgm:constr type="h" for="ch" forName="vertSpace7" refType="h" refFor="ch" refForName="vertSpace6"/>
              <dgm:constr type="b" for="ch" forName="vertSpace7" refType="t" refFor="ch" refForName="vertSpace6"/>
              <dgm:constr type="ctrX" for="ch" forName="circle7" refType="r" refFor="ch" refForName="space"/>
              <dgm:constr type="h" for="ch" forName="circle7" refType="h" refFor="ch" refForName="circle1" fact="0.14286"/>
              <dgm:constr type="hOff" for="ch" forName="circle7" refType="h" refFor="ch" refForName="vertSpace2" fact="-0.85714"/>
              <dgm:constr type="w" for="ch" forName="circle7" refType="h" refFor="ch" refForName="circle7" op="equ"/>
              <dgm:constr type="wOff" for="ch" forName="circle7" refType="hOff" refFor="ch" refForName="circle7" op="equ"/>
              <dgm:constr type="b" for="ch" forName="circle7" refType="t" refFor="ch" refForName="vertSpace7"/>
              <dgm:constr type="r" for="ch" forName="rect7" refType="l" refFor="ch" refForName="space"/>
              <dgm:constr type="l" for="ch" forName="rect7"/>
              <dgm:constr type="h" for="ch" forName="rect7" refType="h" refFor="ch" refForName="circle7"/>
              <dgm:constr type="hOff" for="ch" forName="rect7" refType="hOff" refFor="ch" refForName="circle7"/>
              <dgm:constr type="b" for="ch" forName="rect7" refType="b" refFor="ch" refForName="circle7"/>
              <dgm:constr type="r" for="ch" forName="rect7ParTx" refType="l" refFor="ch" refForName="space"/>
              <dgm:constr type="w" for="ch" forName="rect7ParTx" refType="w" refFor="ch" refForName="rect7" fact="0.5"/>
              <dgm:constr type="t" for="ch" forName="rect7ParTx" refType="t" refFor="ch" refForName="rect7"/>
              <dgm:constr type="b" for="ch" forName="rect7ParTx" refType="b" refFor="ch" refForName="rect7"/>
              <dgm:constr type="r" for="ch" forName="rect7ChTx" refType="l" refFor="ch" refForName="rect7ParTx"/>
              <dgm:constr type="w" for="ch" forName="rect7ChTx" refType="w" refFor="ch" refForName="rect7ParTx"/>
              <dgm:constr type="t" for="ch" forName="rect7ChTx" refType="t" refFor="ch" refForName="rect7ParTx"/>
              <dgm:constr type="b" for="ch" forName="rect7ChTx" refType="b" refFor="ch" refForName="rect7ParTx"/>
              <dgm:constr type="r" for="ch" forName="rect7ParTxNoCh" refType="l" refFor="ch" refForName="space"/>
              <dgm:constr type="w" for="ch" forName="rect7ParTxNoCh" refType="w" refFor="ch" refForName="rect7"/>
              <dgm:constr type="t" for="ch" forName="rect7ParTxNoCh" refType="t" refFor="ch" refForName="rect7"/>
              <dgm:constr type="b" for="ch" forName="rect7ParTxNoCh" refType="b" refFor="ch" refForName="rect7"/>
              <dgm:constr type="r" for="ch" forName="rect1ParTx" refType="l" refFor="ch" refForName="space"/>
              <dgm:constr type="w" for="ch" forName="rect1ParTx" refType="w" refFor="ch" refForName="rect1" fact="0.5"/>
              <dgm:constr type="t" for="ch" forName="rect1ParTx" refType="t" refFor="ch" refForName="rect1"/>
              <dgm:constr type="b" for="ch" forName="rect1ParTx" refType="t" refFor="ch" refForName="rect2"/>
              <dgm:constr type="r" for="ch" forName="rect1ChTx" refType="l" refFor="ch" refForName="rect1ParTx"/>
              <dgm:constr type="w" for="ch" forName="rect1ChTx" refType="w" refFor="ch" refForName="rect1ParTx"/>
              <dgm:constr type="t" for="ch" forName="rect1ChTx" refType="t" refFor="ch" refForName="rect1ParTx"/>
              <dgm:constr type="b" for="ch" forName="rect1ChTx" refType="b" refFor="ch" refForName="rect1ParTx"/>
              <dgm:constr type="r" for="ch" forName="rect1ParTxNoCh" refType="l" refFor="ch" refForName="space"/>
              <dgm:constr type="w" for="ch" forName="rect1ParTxNoCh" refType="w" refFor="ch" refForName="rect1"/>
              <dgm:constr type="t" for="ch" forName="rect1ParTxNoCh" refType="t" refFor="ch" refForName="rect1"/>
              <dgm:constr type="b" for="ch" forName="rect1ParTxNoCh" refType="t" refFor="ch" refForName="rect2"/>
              <dgm:constr type="r" for="ch" forName="rect2ParTx" refType="l" refFor="ch" refForName="space"/>
              <dgm:constr type="w" for="ch" forName="rect2ParTx" refType="w" refFor="ch" refForName="rect2" fact="0.5"/>
              <dgm:constr type="t" for="ch" forName="rect2ParTx" refType="t" refFor="ch" refForName="rect2"/>
              <dgm:constr type="b" for="ch" forName="rect2ParTx" refType="t" refFor="ch" refForName="rect3"/>
              <dgm:constr type="r" for="ch" forName="rect2ChTx" refType="l" refFor="ch" refForName="rect2ParTx"/>
              <dgm:constr type="w" for="ch" forName="rect2ChTx" refType="w" refFor="ch" refForName="rect2ParTx"/>
              <dgm:constr type="t" for="ch" forName="rect2ChTx" refType="t" refFor="ch" refForName="rect2ParTx"/>
              <dgm:constr type="b" for="ch" forName="rect2ChTx" refType="b" refFor="ch" refForName="rect2ParTx"/>
              <dgm:constr type="r" for="ch" forName="rect2ParTxNoCh" refType="l" refFor="ch" refForName="space"/>
              <dgm:constr type="w" for="ch" forName="rect2ParTxNoCh" refType="w" refFor="ch" refForName="rect2"/>
              <dgm:constr type="t" for="ch" forName="rect2ParTxNoCh" refType="t" refFor="ch" refForName="rect2"/>
              <dgm:constr type="b" for="ch" forName="rect2ParTxNoCh" refType="t" refFor="ch" refForName="rect3"/>
              <dgm:constr type="r" for="ch" forName="rect3ParTx" refType="l" refFor="ch" refForName="space"/>
              <dgm:constr type="w" for="ch" forName="rect3ParTx" refType="w" refFor="ch" refForName="rect3" fact="0.5"/>
              <dgm:constr type="t" for="ch" forName="rect3ParTx" refType="t" refFor="ch" refForName="rect3"/>
              <dgm:constr type="b" for="ch" forName="rect3ParTx" refType="t" refFor="ch" refForName="rect4"/>
              <dgm:constr type="r" for="ch" forName="rect3ChTx" refType="l" refFor="ch" refForName="rect3ParTx"/>
              <dgm:constr type="w" for="ch" forName="rect3ChTx" refType="w" refFor="ch" refForName="rect3ParTx"/>
              <dgm:constr type="t" for="ch" forName="rect3ChTx" refType="t" refFor="ch" refForName="rect3ParTx"/>
              <dgm:constr type="b" for="ch" forName="rect3ChTx" refType="b" refFor="ch" refForName="rect3ParTx"/>
              <dgm:constr type="r" for="ch" forName="rect3ParTxNoCh" refType="l" refFor="ch" refForName="space"/>
              <dgm:constr type="w" for="ch" forName="rect3ParTxNoCh" refType="w" refFor="ch" refForName="rect3"/>
              <dgm:constr type="t" for="ch" forName="rect3ParTxNoCh" refType="t" refFor="ch" refForName="rect3"/>
              <dgm:constr type="b" for="ch" forName="rect3ParTxNoCh" refType="t" refFor="ch" refForName="rect4"/>
              <dgm:constr type="r" for="ch" forName="rect4ParTx" refType="l" refFor="ch" refForName="space"/>
              <dgm:constr type="w" for="ch" forName="rect4ParTx" refType="w" refFor="ch" refForName="rect4" fact="0.5"/>
              <dgm:constr type="t" for="ch" forName="rect4ParTx" refType="t" refFor="ch" refForName="rect4"/>
              <dgm:constr type="b" for="ch" forName="rect4ParTx" refType="t" refFor="ch" refForName="rect5"/>
              <dgm:constr type="r" for="ch" forName="rect4ChTx" refType="l" refFor="ch" refForName="rect4ParTx"/>
              <dgm:constr type="w" for="ch" forName="rect4ChTx" refType="w" refFor="ch" refForName="rect4ParTx"/>
              <dgm:constr type="t" for="ch" forName="rect4ChTx" refType="t" refFor="ch" refForName="rect4ParTx"/>
              <dgm:constr type="b" for="ch" forName="rect4ChTx" refType="b" refFor="ch" refForName="rect4ParTx"/>
              <dgm:constr type="r" for="ch" forName="rect4ParTxNoCh" refType="l" refFor="ch" refForName="space"/>
              <dgm:constr type="w" for="ch" forName="rect4ParTxNoCh" refType="w" refFor="ch" refForName="rect4"/>
              <dgm:constr type="t" for="ch" forName="rect4ParTxNoCh" refType="t" refFor="ch" refForName="rect4"/>
              <dgm:constr type="b" for="ch" forName="rect4ParTxNoCh" refType="t" refFor="ch" refForName="rect5"/>
              <dgm:constr type="r" for="ch" forName="rect5ParTx" refType="l" refFor="ch" refForName="space"/>
              <dgm:constr type="w" for="ch" forName="rect5ParTx" refType="w" refFor="ch" refForName="rect5" fact="0.5"/>
              <dgm:constr type="t" for="ch" forName="rect5ParTx" refType="t" refFor="ch" refForName="rect5"/>
              <dgm:constr type="b" for="ch" forName="rect5ParTx" refType="t" refFor="ch" refForName="rect6"/>
              <dgm:constr type="r" for="ch" forName="rect5ChTx" refType="l" refFor="ch" refForName="rect5ParTx"/>
              <dgm:constr type="w" for="ch" forName="rect5ChTx" refType="w" refFor="ch" refForName="rect5ParTx"/>
              <dgm:constr type="t" for="ch" forName="rect5ChTx" refType="t" refFor="ch" refForName="rect5ParTx"/>
              <dgm:constr type="b" for="ch" forName="rect5ChTx" refType="b" refFor="ch" refForName="rect5ParTx"/>
              <dgm:constr type="r" for="ch" forName="rect5ParTxNoCh" refType="l" refFor="ch" refForName="space"/>
              <dgm:constr type="w" for="ch" forName="rect5ParTxNoCh" refType="w" refFor="ch" refForName="rect5"/>
              <dgm:constr type="t" for="ch" forName="rect5ParTxNoCh" refType="t" refFor="ch" refForName="rect5"/>
              <dgm:constr type="b" for="ch" forName="rect5ParTxNoCh" refType="t" refFor="ch" refForName="rect6"/>
              <dgm:constr type="r" for="ch" forName="rect6ParTx" refType="l" refFor="ch" refForName="space"/>
              <dgm:constr type="w" for="ch" forName="rect6ParTx" refType="w" refFor="ch" refForName="rect6" fact="0.5"/>
              <dgm:constr type="t" for="ch" forName="rect6ParTx" refType="t" refFor="ch" refForName="rect6"/>
              <dgm:constr type="b" for="ch" forName="rect6ParTx" refType="t" refFor="ch" refForName="rect7"/>
              <dgm:constr type="r" for="ch" forName="rect6ChTx" refType="l" refFor="ch" refForName="rect6ParTx"/>
              <dgm:constr type="w" for="ch" forName="rect6ChTx" refType="w" refFor="ch" refForName="rect6ParTx"/>
              <dgm:constr type="t" for="ch" forName="rect6ChTx" refType="t" refFor="ch" refForName="rect6ParTx"/>
              <dgm:constr type="b" for="ch" forName="rect6ChTx" refType="b" refFor="ch" refForName="rect6ParTx"/>
              <dgm:constr type="r" for="ch" forName="rect6ParTxNoCh" refType="l" refFor="ch" refForName="space"/>
              <dgm:constr type="w" for="ch" forName="rect6ParTxNoCh" refType="w" refFor="ch" refForName="rect6"/>
              <dgm:constr type="t" for="ch" forName="rect6ParTxNoCh" refType="t" refFor="ch" refForName="rect6"/>
              <dgm:constr type="b" for="ch" forName="rect6ParTxNoCh" refType="t" refFor="ch" refForName="rect7"/>
              <dgm:constr type="primFontSz" for="ch" op="equ" val="65"/>
              <dgm:constr type="secFontSz" for="ch" op="equ" val="65"/>
            </dgm:constrLst>
          </dgm:if>
          <dgm:else name="Name21">
            <dgm:constrLst/>
          </dgm:else>
        </dgm:choose>
      </dgm:else>
    </dgm:choose>
    <dgm:ruleLst/>
    <dgm:forEach name="Name22" axis="ch" ptType="node" cnt="1">
      <dgm:layoutNode name="circle1" styleLbl="node1">
        <dgm:alg type="sp"/>
        <dgm:choose name="Name23">
          <dgm:if name="Name24" func="var" arg="dir" op="equ" val="norm">
            <dgm:shape xmlns:r="http://schemas.openxmlformats.org/officeDocument/2006/relationships" type="pie" r:blip="">
              <dgm:adjLst>
                <dgm:adj idx="1" val="90"/>
                <dgm:adj idx="2" val="270"/>
              </dgm:adjLst>
            </dgm:shape>
          </dgm:if>
          <dgm:else name="Name25">
            <dgm:shape xmlns:r="http://schemas.openxmlformats.org/officeDocument/2006/relationships" type="pie" r:blip="">
              <dgm:adjLst>
                <dgm:adj idx="1" val="270"/>
                <dgm:adj idx="2" val="90"/>
              </dgm:adjLst>
            </dgm:shape>
          </dgm:else>
        </dgm:choose>
        <dgm:presOf/>
        <dgm:constrLst/>
        <dgm:ruleLst/>
      </dgm:layoutNode>
      <dgm:layoutNode name="space">
        <dgm:alg type="sp"/>
        <dgm:shape xmlns:r="http://schemas.openxmlformats.org/officeDocument/2006/relationships" r:blip="">
          <dgm:adjLst/>
        </dgm:shape>
        <dgm:presOf/>
        <dgm:constrLst/>
        <dgm:ruleLst/>
      </dgm:layoutNode>
      <dgm:layoutNode name="rect1" styleLbl="alignAcc1">
        <dgm:alg type="sp"/>
        <dgm:shape xmlns:r="http://schemas.openxmlformats.org/officeDocument/2006/relationships" type="rect" r:blip="">
          <dgm:adjLst/>
        </dgm:shape>
        <dgm:presOf axis="self"/>
        <dgm:constrLst/>
        <dgm:ruleLst/>
      </dgm:layoutNode>
    </dgm:forEach>
    <dgm:forEach name="Name26" axis="ch" ptType="node" st="2" cnt="1">
      <dgm:layoutNode name="vertSpace2">
        <dgm:alg type="sp"/>
        <dgm:shape xmlns:r="http://schemas.openxmlformats.org/officeDocument/2006/relationships" type="rect" r:blip="" hideGeom="1">
          <dgm:adjLst/>
        </dgm:shape>
        <dgm:presOf/>
        <dgm:constrLst/>
        <dgm:ruleLst/>
      </dgm:layoutNode>
      <dgm:layoutNode name="circle2" styleLbl="node1">
        <dgm:alg type="sp"/>
        <dgm:choose name="Name27">
          <dgm:if name="Name28" func="var" arg="dir" op="equ" val="norm">
            <dgm:shape xmlns:r="http://schemas.openxmlformats.org/officeDocument/2006/relationships" type="pie" r:blip="">
              <dgm:adjLst>
                <dgm:adj idx="1" val="90"/>
                <dgm:adj idx="2" val="270"/>
              </dgm:adjLst>
            </dgm:shape>
          </dgm:if>
          <dgm:else name="Name29">
            <dgm:shape xmlns:r="http://schemas.openxmlformats.org/officeDocument/2006/relationships" type="pie" r:blip="">
              <dgm:adjLst>
                <dgm:adj idx="1" val="270"/>
                <dgm:adj idx="2" val="90"/>
              </dgm:adjLst>
            </dgm:shape>
          </dgm:else>
        </dgm:choose>
        <dgm:presOf/>
        <dgm:constrLst/>
        <dgm:ruleLst/>
      </dgm:layoutNode>
      <dgm:layoutNode name="rect2" styleLbl="alignAcc1">
        <dgm:alg type="sp"/>
        <dgm:shape xmlns:r="http://schemas.openxmlformats.org/officeDocument/2006/relationships" type="rect" r:blip="">
          <dgm:adjLst/>
        </dgm:shape>
        <dgm:presOf axis="self"/>
        <dgm:constrLst/>
        <dgm:ruleLst/>
      </dgm:layoutNode>
    </dgm:forEach>
    <dgm:forEach name="Name30" axis="ch" ptType="node" st="3" cnt="1">
      <dgm:layoutNode name="vertSpace3">
        <dgm:alg type="sp"/>
        <dgm:shape xmlns:r="http://schemas.openxmlformats.org/officeDocument/2006/relationships" type="rect" r:blip="" hideGeom="1">
          <dgm:adjLst/>
        </dgm:shape>
        <dgm:presOf/>
        <dgm:constrLst/>
        <dgm:ruleLst/>
      </dgm:layoutNode>
      <dgm:layoutNode name="circle3" styleLbl="node1">
        <dgm:alg type="sp"/>
        <dgm:choose name="Name31">
          <dgm:if name="Name32" func="var" arg="dir" op="equ" val="norm">
            <dgm:shape xmlns:r="http://schemas.openxmlformats.org/officeDocument/2006/relationships" type="pie" r:blip="">
              <dgm:adjLst>
                <dgm:adj idx="1" val="90"/>
                <dgm:adj idx="2" val="270"/>
              </dgm:adjLst>
            </dgm:shape>
          </dgm:if>
          <dgm:else name="Name33">
            <dgm:shape xmlns:r="http://schemas.openxmlformats.org/officeDocument/2006/relationships" type="pie" r:blip="">
              <dgm:adjLst>
                <dgm:adj idx="1" val="270"/>
                <dgm:adj idx="2" val="90"/>
              </dgm:adjLst>
            </dgm:shape>
          </dgm:else>
        </dgm:choose>
        <dgm:presOf/>
        <dgm:constrLst/>
        <dgm:ruleLst/>
      </dgm:layoutNode>
      <dgm:layoutNode name="rect3" styleLbl="alignAcc1">
        <dgm:alg type="sp"/>
        <dgm:shape xmlns:r="http://schemas.openxmlformats.org/officeDocument/2006/relationships" type="rect" r:blip="">
          <dgm:adjLst/>
        </dgm:shape>
        <dgm:presOf axis="self"/>
        <dgm:constrLst/>
        <dgm:ruleLst/>
      </dgm:layoutNode>
    </dgm:forEach>
    <dgm:forEach name="Name34" axis="ch" ptType="node" st="4" cnt="1">
      <dgm:layoutNode name="vertSpace4">
        <dgm:alg type="sp"/>
        <dgm:shape xmlns:r="http://schemas.openxmlformats.org/officeDocument/2006/relationships" type="rect" r:blip="" hideGeom="1">
          <dgm:adjLst/>
        </dgm:shape>
        <dgm:presOf/>
        <dgm:constrLst/>
        <dgm:ruleLst/>
      </dgm:layoutNode>
      <dgm:layoutNode name="circle4" styleLbl="node1">
        <dgm:alg type="sp"/>
        <dgm:choose name="Name35">
          <dgm:if name="Name36" func="var" arg="dir" op="equ" val="norm">
            <dgm:shape xmlns:r="http://schemas.openxmlformats.org/officeDocument/2006/relationships" type="pie" r:blip="">
              <dgm:adjLst>
                <dgm:adj idx="1" val="90"/>
                <dgm:adj idx="2" val="270"/>
              </dgm:adjLst>
            </dgm:shape>
          </dgm:if>
          <dgm:else name="Name37">
            <dgm:shape xmlns:r="http://schemas.openxmlformats.org/officeDocument/2006/relationships" type="pie" r:blip="">
              <dgm:adjLst>
                <dgm:adj idx="1" val="270"/>
                <dgm:adj idx="2" val="90"/>
              </dgm:adjLst>
            </dgm:shape>
          </dgm:else>
        </dgm:choose>
        <dgm:presOf/>
        <dgm:constrLst/>
        <dgm:ruleLst/>
      </dgm:layoutNode>
      <dgm:layoutNode name="rect4" styleLbl="alignAcc1">
        <dgm:alg type="sp"/>
        <dgm:shape xmlns:r="http://schemas.openxmlformats.org/officeDocument/2006/relationships" type="rect" r:blip="">
          <dgm:adjLst/>
        </dgm:shape>
        <dgm:presOf axis="self"/>
        <dgm:constrLst/>
        <dgm:ruleLst/>
      </dgm:layoutNode>
    </dgm:forEach>
    <dgm:forEach name="Name38" axis="ch" ptType="node" st="5" cnt="1">
      <dgm:layoutNode name="vertSpace5">
        <dgm:alg type="sp"/>
        <dgm:shape xmlns:r="http://schemas.openxmlformats.org/officeDocument/2006/relationships" type="rect" r:blip="" hideGeom="1">
          <dgm:adjLst/>
        </dgm:shape>
        <dgm:presOf/>
        <dgm:constrLst/>
        <dgm:ruleLst/>
      </dgm:layoutNode>
      <dgm:layoutNode name="circle5" styleLbl="node1">
        <dgm:alg type="sp"/>
        <dgm:choose name="Name39">
          <dgm:if name="Name40" func="var" arg="dir" op="equ" val="norm">
            <dgm:shape xmlns:r="http://schemas.openxmlformats.org/officeDocument/2006/relationships" type="pie" r:blip="">
              <dgm:adjLst>
                <dgm:adj idx="1" val="90"/>
                <dgm:adj idx="2" val="270"/>
              </dgm:adjLst>
            </dgm:shape>
          </dgm:if>
          <dgm:else name="Name41">
            <dgm:shape xmlns:r="http://schemas.openxmlformats.org/officeDocument/2006/relationships" type="pie" r:blip="">
              <dgm:adjLst>
                <dgm:adj idx="1" val="270"/>
                <dgm:adj idx="2" val="90"/>
              </dgm:adjLst>
            </dgm:shape>
          </dgm:else>
        </dgm:choose>
        <dgm:presOf/>
        <dgm:constrLst/>
        <dgm:ruleLst/>
      </dgm:layoutNode>
      <dgm:layoutNode name="rect5" styleLbl="alignAcc1">
        <dgm:alg type="sp"/>
        <dgm:shape xmlns:r="http://schemas.openxmlformats.org/officeDocument/2006/relationships" type="rect" r:blip="">
          <dgm:adjLst/>
        </dgm:shape>
        <dgm:presOf axis="self"/>
        <dgm:constrLst/>
        <dgm:ruleLst/>
      </dgm:layoutNode>
    </dgm:forEach>
    <dgm:forEach name="Name42" axis="ch" ptType="node" st="6" cnt="1">
      <dgm:layoutNode name="vertSpace6">
        <dgm:alg type="sp"/>
        <dgm:shape xmlns:r="http://schemas.openxmlformats.org/officeDocument/2006/relationships" type="rect" r:blip="" hideGeom="1">
          <dgm:adjLst/>
        </dgm:shape>
        <dgm:presOf/>
        <dgm:constrLst/>
        <dgm:ruleLst/>
      </dgm:layoutNode>
      <dgm:layoutNode name="circle6" styleLbl="node1">
        <dgm:alg type="sp"/>
        <dgm:choose name="Name43">
          <dgm:if name="Name44" func="var" arg="dir" op="equ" val="norm">
            <dgm:shape xmlns:r="http://schemas.openxmlformats.org/officeDocument/2006/relationships" type="pie" r:blip="">
              <dgm:adjLst>
                <dgm:adj idx="1" val="90"/>
                <dgm:adj idx="2" val="270"/>
              </dgm:adjLst>
            </dgm:shape>
          </dgm:if>
          <dgm:else name="Name45">
            <dgm:shape xmlns:r="http://schemas.openxmlformats.org/officeDocument/2006/relationships" type="pie" r:blip="">
              <dgm:adjLst>
                <dgm:adj idx="1" val="270"/>
                <dgm:adj idx="2" val="90"/>
              </dgm:adjLst>
            </dgm:shape>
          </dgm:else>
        </dgm:choose>
        <dgm:presOf/>
        <dgm:constrLst/>
        <dgm:ruleLst/>
      </dgm:layoutNode>
      <dgm:layoutNode name="rect6" styleLbl="alignAcc1">
        <dgm:alg type="sp"/>
        <dgm:shape xmlns:r="http://schemas.openxmlformats.org/officeDocument/2006/relationships" type="rect" r:blip="">
          <dgm:adjLst/>
        </dgm:shape>
        <dgm:presOf axis="self"/>
        <dgm:constrLst/>
        <dgm:ruleLst/>
      </dgm:layoutNode>
    </dgm:forEach>
    <dgm:forEach name="Name46" axis="ch" ptType="node" st="7" cnt="1">
      <dgm:layoutNode name="vertSpace7">
        <dgm:alg type="sp"/>
        <dgm:shape xmlns:r="http://schemas.openxmlformats.org/officeDocument/2006/relationships" type="rect" r:blip="" hideGeom="1">
          <dgm:adjLst/>
        </dgm:shape>
        <dgm:presOf/>
        <dgm:constrLst/>
        <dgm:ruleLst/>
      </dgm:layoutNode>
      <dgm:layoutNode name="circle7" styleLbl="node1">
        <dgm:alg type="sp"/>
        <dgm:choose name="Name47">
          <dgm:if name="Name48" func="var" arg="dir" op="equ" val="norm">
            <dgm:shape xmlns:r="http://schemas.openxmlformats.org/officeDocument/2006/relationships" type="pie" r:blip="">
              <dgm:adjLst>
                <dgm:adj idx="1" val="90"/>
                <dgm:adj idx="2" val="270"/>
              </dgm:adjLst>
            </dgm:shape>
          </dgm:if>
          <dgm:else name="Name49">
            <dgm:shape xmlns:r="http://schemas.openxmlformats.org/officeDocument/2006/relationships" type="pie" r:blip="">
              <dgm:adjLst>
                <dgm:adj idx="1" val="270"/>
                <dgm:adj idx="2" val="90"/>
              </dgm:adjLst>
            </dgm:shape>
          </dgm:else>
        </dgm:choose>
        <dgm:presOf/>
        <dgm:constrLst/>
        <dgm:ruleLst/>
      </dgm:layoutNode>
      <dgm:layoutNode name="rect7" styleLbl="alignAcc1">
        <dgm:alg type="sp"/>
        <dgm:shape xmlns:r="http://schemas.openxmlformats.org/officeDocument/2006/relationships" type="rect" r:blip="">
          <dgm:adjLst/>
        </dgm:shape>
        <dgm:presOf axis="self"/>
        <dgm:constrLst/>
        <dgm:ruleLst/>
      </dgm:layoutNode>
    </dgm:forEach>
    <dgm:forEach name="Name50" axis="ch" ptType="node" cnt="1">
      <dgm:choose name="Name51">
        <dgm:if name="Name52" axis="root des" ptType="all node" func="maxDepth" op="gte" val="2">
          <dgm:layoutNode name="rect1ParTx"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name="rect1ChTx" styleLbl="alignAcc1">
            <dgm:varLst>
              <dgm:bulletEnabled val="1"/>
            </dgm:varLst>
            <dgm:alg type="tx">
              <dgm:param type="stBulletLvl" val="1"/>
              <dgm:param type="txAnchorVertCh" val="mid"/>
            </dgm:alg>
            <dgm:shape xmlns:r="http://schemas.openxmlformats.org/officeDocument/2006/relationships" type="rect" r:blip="" hideGeom="1">
              <dgm:adjLst/>
            </dgm:shape>
            <dgm:presOf axis="des" ptType="node"/>
            <dgm:constrLst>
              <dgm:constr type="lMarg" refType="secFontSz" fact="0.3"/>
              <dgm:constr type="rMarg" refType="secFontSz" fact="0.3"/>
              <dgm:constr type="tMarg" refType="secFontSz" fact="0.3"/>
              <dgm:constr type="bMarg" refType="secFontSz" fact="0.3"/>
            </dgm:constrLst>
            <dgm:ruleLst>
              <dgm:rule type="secFontSz" val="5" fact="NaN" max="NaN"/>
            </dgm:ruleLst>
          </dgm:layoutNode>
        </dgm:if>
        <dgm:else name="Name53">
          <dgm:layoutNode name="rect1ParTxNoCh"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forEach>
    <dgm:forEach name="Name54" axis="ch" ptType="node" st="2" cnt="1">
      <dgm:choose name="Name55">
        <dgm:if name="Name56" axis="root des" ptType="all node" func="maxDepth" op="gte" val="2">
          <dgm:layoutNode name="rect2ParTx"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name="rect2ChTx" styleLbl="alignAcc1">
            <dgm:varLst>
              <dgm:bulletEnabled val="1"/>
            </dgm:varLst>
            <dgm:alg type="tx">
              <dgm:param type="stBulletLvl" val="1"/>
              <dgm:param type="txAnchorVertCh" val="mid"/>
            </dgm:alg>
            <dgm:shape xmlns:r="http://schemas.openxmlformats.org/officeDocument/2006/relationships" type="rect" r:blip="" hideGeom="1">
              <dgm:adjLst/>
            </dgm:shape>
            <dgm:presOf axis="des" ptType="node"/>
            <dgm:constrLst>
              <dgm:constr type="lMarg" refType="secFontSz" fact="0.3"/>
              <dgm:constr type="rMarg" refType="secFontSz" fact="0.3"/>
              <dgm:constr type="tMarg" refType="secFontSz" fact="0.3"/>
              <dgm:constr type="bMarg" refType="secFontSz" fact="0.3"/>
            </dgm:constrLst>
            <dgm:ruleLst>
              <dgm:rule type="secFontSz" val="5" fact="NaN" max="NaN"/>
            </dgm:ruleLst>
          </dgm:layoutNode>
        </dgm:if>
        <dgm:else name="Name57">
          <dgm:layoutNode name="rect2ParTxNoCh"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forEach>
    <dgm:forEach name="Name58" axis="ch" ptType="node" st="3" cnt="1">
      <dgm:choose name="Name59">
        <dgm:if name="Name60" axis="root des" ptType="all node" func="maxDepth" op="gte" val="2">
          <dgm:layoutNode name="rect3ParTx"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name="rect3ChTx" styleLbl="alignAcc1">
            <dgm:varLst>
              <dgm:bulletEnabled val="1"/>
            </dgm:varLst>
            <dgm:alg type="tx">
              <dgm:param type="stBulletLvl" val="1"/>
              <dgm:param type="txAnchorVertCh" val="mid"/>
            </dgm:alg>
            <dgm:shape xmlns:r="http://schemas.openxmlformats.org/officeDocument/2006/relationships" type="rect" r:blip="" hideGeom="1">
              <dgm:adjLst/>
            </dgm:shape>
            <dgm:presOf axis="des" ptType="node"/>
            <dgm:constrLst>
              <dgm:constr type="lMarg" refType="secFontSz" fact="0.3"/>
              <dgm:constr type="rMarg" refType="secFontSz" fact="0.3"/>
              <dgm:constr type="tMarg" refType="secFontSz" fact="0.3"/>
              <dgm:constr type="bMarg" refType="secFontSz" fact="0.3"/>
            </dgm:constrLst>
            <dgm:ruleLst>
              <dgm:rule type="secFontSz" val="5" fact="NaN" max="NaN"/>
            </dgm:ruleLst>
          </dgm:layoutNode>
        </dgm:if>
        <dgm:else name="Name61">
          <dgm:layoutNode name="rect3ParTxNoCh"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forEach>
    <dgm:forEach name="Name62" axis="ch" ptType="node" st="4" cnt="1">
      <dgm:choose name="Name63">
        <dgm:if name="Name64" axis="root des" ptType="all node" func="maxDepth" op="gte" val="2">
          <dgm:layoutNode name="rect4ParTx"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name="rect4ChTx" styleLbl="alignAcc1">
            <dgm:varLst>
              <dgm:bulletEnabled val="1"/>
            </dgm:varLst>
            <dgm:alg type="tx">
              <dgm:param type="stBulletLvl" val="1"/>
              <dgm:param type="txAnchorVertCh" val="mid"/>
            </dgm:alg>
            <dgm:shape xmlns:r="http://schemas.openxmlformats.org/officeDocument/2006/relationships" type="rect" r:blip="" hideGeom="1">
              <dgm:adjLst/>
            </dgm:shape>
            <dgm:presOf axis="des" ptType="node"/>
            <dgm:constrLst>
              <dgm:constr type="lMarg" refType="secFontSz" fact="0.3"/>
              <dgm:constr type="rMarg" refType="secFontSz" fact="0.3"/>
              <dgm:constr type="tMarg" refType="secFontSz" fact="0.3"/>
              <dgm:constr type="bMarg" refType="secFontSz" fact="0.3"/>
            </dgm:constrLst>
            <dgm:ruleLst>
              <dgm:rule type="secFontSz" val="5" fact="NaN" max="NaN"/>
            </dgm:ruleLst>
          </dgm:layoutNode>
        </dgm:if>
        <dgm:else name="Name65">
          <dgm:layoutNode name="rect4ParTxNoCh"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forEach>
    <dgm:forEach name="Name66" axis="ch" ptType="node" st="5" cnt="1">
      <dgm:choose name="Name67">
        <dgm:if name="Name68" axis="root des" ptType="all node" func="maxDepth" op="gte" val="2">
          <dgm:layoutNode name="rect5ParTx"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name="rect5ChTx" styleLbl="alignAcc1">
            <dgm:varLst>
              <dgm:bulletEnabled val="1"/>
            </dgm:varLst>
            <dgm:alg type="tx">
              <dgm:param type="stBulletLvl" val="1"/>
              <dgm:param type="txAnchorVertCh" val="mid"/>
            </dgm:alg>
            <dgm:shape xmlns:r="http://schemas.openxmlformats.org/officeDocument/2006/relationships" type="rect" r:blip="" hideGeom="1">
              <dgm:adjLst/>
            </dgm:shape>
            <dgm:presOf axis="des" ptType="node"/>
            <dgm:constrLst>
              <dgm:constr type="lMarg" refType="secFontSz" fact="0.3"/>
              <dgm:constr type="rMarg" refType="secFontSz" fact="0.3"/>
              <dgm:constr type="tMarg" refType="secFontSz" fact="0.3"/>
              <dgm:constr type="bMarg" refType="secFontSz" fact="0.3"/>
            </dgm:constrLst>
            <dgm:ruleLst>
              <dgm:rule type="secFontSz" val="5" fact="NaN" max="NaN"/>
            </dgm:ruleLst>
          </dgm:layoutNode>
        </dgm:if>
        <dgm:else name="Name69">
          <dgm:layoutNode name="rect5ParTxNoCh"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forEach>
    <dgm:forEach name="Name70" axis="ch" ptType="node" st="6" cnt="1">
      <dgm:choose name="Name71">
        <dgm:if name="Name72" axis="root des" ptType="all node" func="maxDepth" op="gte" val="2">
          <dgm:layoutNode name="rect6ParTx"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name="rect6ChTx" styleLbl="alignAcc1">
            <dgm:varLst>
              <dgm:bulletEnabled val="1"/>
            </dgm:varLst>
            <dgm:alg type="tx">
              <dgm:param type="stBulletLvl" val="1"/>
              <dgm:param type="txAnchorVertCh" val="mid"/>
            </dgm:alg>
            <dgm:shape xmlns:r="http://schemas.openxmlformats.org/officeDocument/2006/relationships" type="rect" r:blip="" hideGeom="1">
              <dgm:adjLst/>
            </dgm:shape>
            <dgm:presOf axis="des" ptType="node"/>
            <dgm:constrLst>
              <dgm:constr type="lMarg" refType="secFontSz" fact="0.3"/>
              <dgm:constr type="rMarg" refType="secFontSz" fact="0.3"/>
              <dgm:constr type="tMarg" refType="secFontSz" fact="0.3"/>
              <dgm:constr type="bMarg" refType="secFontSz" fact="0.3"/>
            </dgm:constrLst>
            <dgm:ruleLst>
              <dgm:rule type="secFontSz" val="5" fact="NaN" max="NaN"/>
            </dgm:ruleLst>
          </dgm:layoutNode>
        </dgm:if>
        <dgm:else name="Name73">
          <dgm:layoutNode name="rect6ParTxNoCh"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forEach>
    <dgm:forEach name="Name74" axis="ch" ptType="node" st="7" cnt="1">
      <dgm:choose name="Name75">
        <dgm:if name="Name76" axis="root des" ptType="all node" func="maxDepth" op="gte" val="2">
          <dgm:layoutNode name="rect7ParTx"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name="rect7ChTx" styleLbl="alignAcc1">
            <dgm:varLst>
              <dgm:bulletEnabled val="1"/>
            </dgm:varLst>
            <dgm:alg type="tx">
              <dgm:param type="stBulletLvl" val="1"/>
              <dgm:param type="txAnchorVertCh" val="mid"/>
            </dgm:alg>
            <dgm:shape xmlns:r="http://schemas.openxmlformats.org/officeDocument/2006/relationships" type="rect" r:blip="" hideGeom="1">
              <dgm:adjLst/>
            </dgm:shape>
            <dgm:presOf axis="des" ptType="node"/>
            <dgm:constrLst>
              <dgm:constr type="lMarg" refType="secFontSz" fact="0.3"/>
              <dgm:constr type="rMarg" refType="secFontSz" fact="0.3"/>
              <dgm:constr type="tMarg" refType="secFontSz" fact="0.3"/>
              <dgm:constr type="bMarg" refType="secFontSz" fact="0.3"/>
            </dgm:constrLst>
            <dgm:ruleLst>
              <dgm:rule type="secFontSz" val="5" fact="NaN" max="NaN"/>
            </dgm:ruleLst>
          </dgm:layoutNode>
        </dgm:if>
        <dgm:else name="Name77">
          <dgm:layoutNode name="rect7ParTxNoCh" styleLbl="alignAcc1">
            <dgm:varLst>
              <dgm:chMax val="1"/>
              <dgm:bulletEnabled val="1"/>
            </dgm:varLst>
            <dgm:alg type="tx"/>
            <dgm:shape xmlns:r="http://schemas.openxmlformats.org/officeDocument/2006/relationships" type="rect" r:blip="" hideGeom="1">
              <dgm:adjLst/>
            </dgm:shape>
            <dgm:presOf axis="self"/>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10.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1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12.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13.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14.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2.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3.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4.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5.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6.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7.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8.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9.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hyperlink" Target="#Glossary!A1"/><Relationship Id="rId7" Type="http://schemas.openxmlformats.org/officeDocument/2006/relationships/hyperlink" Target="#Persona!A1"/><Relationship Id="rId2" Type="http://schemas.openxmlformats.org/officeDocument/2006/relationships/hyperlink" Target="#Bibliography!A1"/><Relationship Id="rId1" Type="http://schemas.openxmlformats.org/officeDocument/2006/relationships/image" Target="../media/image1.png"/><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hyperlink" Target="#Journey!A1"/><Relationship Id="rId9" Type="http://schemas.openxmlformats.org/officeDocument/2006/relationships/image" Target="../media/image5.svg"/></Relationships>
</file>

<file path=xl/drawings/_rels/drawing10.xml.rels><?xml version="1.0" encoding="UTF-8" standalone="yes"?>
<Relationships xmlns="http://schemas.openxmlformats.org/package/2006/relationships"><Relationship Id="rId8" Type="http://schemas.openxmlformats.org/officeDocument/2006/relationships/hyperlink" Target="#Journey!A1"/><Relationship Id="rId13" Type="http://schemas.openxmlformats.org/officeDocument/2006/relationships/image" Target="../media/image5.svg"/><Relationship Id="rId3" Type="http://schemas.openxmlformats.org/officeDocument/2006/relationships/diagramQuickStyle" Target="../diagrams/quickStyle8.xml"/><Relationship Id="rId7" Type="http://schemas.openxmlformats.org/officeDocument/2006/relationships/hyperlink" Target="#Glossary!A1"/><Relationship Id="rId12" Type="http://schemas.openxmlformats.org/officeDocument/2006/relationships/image" Target="../media/image4.png"/><Relationship Id="rId2" Type="http://schemas.openxmlformats.org/officeDocument/2006/relationships/diagramLayout" Target="../diagrams/layout8.xml"/><Relationship Id="rId1" Type="http://schemas.openxmlformats.org/officeDocument/2006/relationships/diagramData" Target="../diagrams/data8.xml"/><Relationship Id="rId6" Type="http://schemas.openxmlformats.org/officeDocument/2006/relationships/hyperlink" Target="#Bibliography!A1"/><Relationship Id="rId11" Type="http://schemas.openxmlformats.org/officeDocument/2006/relationships/hyperlink" Target="#Persona!A1"/><Relationship Id="rId5" Type="http://schemas.microsoft.com/office/2007/relationships/diagramDrawing" Target="../diagrams/drawing8.xml"/><Relationship Id="rId10" Type="http://schemas.openxmlformats.org/officeDocument/2006/relationships/image" Target="../media/image3.svg"/><Relationship Id="rId4" Type="http://schemas.openxmlformats.org/officeDocument/2006/relationships/diagramColors" Target="../diagrams/colors8.xml"/><Relationship Id="rId9" Type="http://schemas.openxmlformats.org/officeDocument/2006/relationships/image" Target="../media/image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13.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14.xml.rels><?xml version="1.0" encoding="UTF-8" standalone="yes"?>
<Relationships xmlns="http://schemas.openxmlformats.org/package/2006/relationships"><Relationship Id="rId8" Type="http://schemas.openxmlformats.org/officeDocument/2006/relationships/image" Target="../media/image3.svg"/><Relationship Id="rId3" Type="http://schemas.openxmlformats.org/officeDocument/2006/relationships/image" Target="../media/image30.gif"/><Relationship Id="rId7" Type="http://schemas.openxmlformats.org/officeDocument/2006/relationships/image" Target="../media/image2.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hyperlink" Target="#Journey!A1"/><Relationship Id="rId11" Type="http://schemas.openxmlformats.org/officeDocument/2006/relationships/image" Target="../media/image5.svg"/><Relationship Id="rId5" Type="http://schemas.openxmlformats.org/officeDocument/2006/relationships/hyperlink" Target="#Glossary!A1"/><Relationship Id="rId10" Type="http://schemas.openxmlformats.org/officeDocument/2006/relationships/image" Target="../media/image4.png"/><Relationship Id="rId4" Type="http://schemas.openxmlformats.org/officeDocument/2006/relationships/hyperlink" Target="#Bibliography!A1"/><Relationship Id="rId9" Type="http://schemas.openxmlformats.org/officeDocument/2006/relationships/hyperlink" Target="#Persona!A1"/></Relationships>
</file>

<file path=xl/drawings/_rels/drawing15.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hyperlink" Target="#Glossary!A1"/><Relationship Id="rId7" Type="http://schemas.openxmlformats.org/officeDocument/2006/relationships/hyperlink" Target="#Persona!A1"/><Relationship Id="rId2" Type="http://schemas.openxmlformats.org/officeDocument/2006/relationships/hyperlink" Target="#Bibliography!A1"/><Relationship Id="rId1" Type="http://schemas.openxmlformats.org/officeDocument/2006/relationships/image" Target="../media/image28.png"/><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hyperlink" Target="#Journey!A1"/><Relationship Id="rId9" Type="http://schemas.openxmlformats.org/officeDocument/2006/relationships/image" Target="../media/image5.svg"/></Relationships>
</file>

<file path=xl/drawings/_rels/drawing16.xml.rels><?xml version="1.0" encoding="UTF-8" standalone="yes"?>
<Relationships xmlns="http://schemas.openxmlformats.org/package/2006/relationships"><Relationship Id="rId8" Type="http://schemas.openxmlformats.org/officeDocument/2006/relationships/hyperlink" Target="#Persona!A1"/><Relationship Id="rId3" Type="http://schemas.openxmlformats.org/officeDocument/2006/relationships/hyperlink" Target="#Bibliography!A1"/><Relationship Id="rId7" Type="http://schemas.openxmlformats.org/officeDocument/2006/relationships/image" Target="../media/image3.svg"/><Relationship Id="rId2" Type="http://schemas.openxmlformats.org/officeDocument/2006/relationships/image" Target="../media/image28.png"/><Relationship Id="rId1" Type="http://schemas.openxmlformats.org/officeDocument/2006/relationships/image" Target="../media/image31.gif"/><Relationship Id="rId6" Type="http://schemas.openxmlformats.org/officeDocument/2006/relationships/image" Target="../media/image2.png"/><Relationship Id="rId5" Type="http://schemas.openxmlformats.org/officeDocument/2006/relationships/hyperlink" Target="#Journey!A1"/><Relationship Id="rId10" Type="http://schemas.openxmlformats.org/officeDocument/2006/relationships/image" Target="../media/image5.svg"/><Relationship Id="rId4" Type="http://schemas.openxmlformats.org/officeDocument/2006/relationships/hyperlink" Target="#Glossary!A1"/><Relationship Id="rId9" Type="http://schemas.openxmlformats.org/officeDocument/2006/relationships/image" Target="../media/image4.png"/></Relationships>
</file>

<file path=xl/drawings/_rels/drawing17.xml.rels><?xml version="1.0" encoding="UTF-8" standalone="yes"?>
<Relationships xmlns="http://schemas.openxmlformats.org/package/2006/relationships"><Relationship Id="rId8" Type="http://schemas.openxmlformats.org/officeDocument/2006/relationships/hyperlink" Target="#Persona!A1"/><Relationship Id="rId3" Type="http://schemas.openxmlformats.org/officeDocument/2006/relationships/hyperlink" Target="#Bibliography!A1"/><Relationship Id="rId7" Type="http://schemas.openxmlformats.org/officeDocument/2006/relationships/image" Target="../media/image3.svg"/><Relationship Id="rId2" Type="http://schemas.openxmlformats.org/officeDocument/2006/relationships/image" Target="../media/image28.png"/><Relationship Id="rId1" Type="http://schemas.openxmlformats.org/officeDocument/2006/relationships/image" Target="../media/image30.gif"/><Relationship Id="rId6" Type="http://schemas.openxmlformats.org/officeDocument/2006/relationships/image" Target="../media/image2.png"/><Relationship Id="rId5" Type="http://schemas.openxmlformats.org/officeDocument/2006/relationships/hyperlink" Target="#Journey!A1"/><Relationship Id="rId10" Type="http://schemas.openxmlformats.org/officeDocument/2006/relationships/image" Target="../media/image5.svg"/><Relationship Id="rId4" Type="http://schemas.openxmlformats.org/officeDocument/2006/relationships/hyperlink" Target="#Glossary!A1"/><Relationship Id="rId9" Type="http://schemas.openxmlformats.org/officeDocument/2006/relationships/image" Target="../media/image4.png"/></Relationships>
</file>

<file path=xl/drawings/_rels/drawing18.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hyperlink" Target="#Glossary!A1"/><Relationship Id="rId7" Type="http://schemas.openxmlformats.org/officeDocument/2006/relationships/hyperlink" Target="#Persona!A1"/><Relationship Id="rId2" Type="http://schemas.openxmlformats.org/officeDocument/2006/relationships/hyperlink" Target="#Bibliography!A1"/><Relationship Id="rId1" Type="http://schemas.openxmlformats.org/officeDocument/2006/relationships/image" Target="../media/image28.png"/><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hyperlink" Target="#Journey!A1"/><Relationship Id="rId9" Type="http://schemas.openxmlformats.org/officeDocument/2006/relationships/image" Target="../media/image5.svg"/></Relationships>
</file>

<file path=xl/drawings/_rels/drawing19.xml.rels><?xml version="1.0" encoding="UTF-8" standalone="yes"?>
<Relationships xmlns="http://schemas.openxmlformats.org/package/2006/relationships"><Relationship Id="rId13" Type="http://schemas.openxmlformats.org/officeDocument/2006/relationships/diagramLayout" Target="../diagrams/layout9.xml"/><Relationship Id="rId18" Type="http://schemas.openxmlformats.org/officeDocument/2006/relationships/image" Target="../media/image26.png"/><Relationship Id="rId26" Type="http://schemas.openxmlformats.org/officeDocument/2006/relationships/image" Target="../media/image4.png"/><Relationship Id="rId21" Type="http://schemas.openxmlformats.org/officeDocument/2006/relationships/hyperlink" Target="#Glossary!A1"/><Relationship Id="rId12" Type="http://schemas.openxmlformats.org/officeDocument/2006/relationships/diagramData" Target="../diagrams/data9.xml"/><Relationship Id="rId17" Type="http://schemas.openxmlformats.org/officeDocument/2006/relationships/image" Target="../media/image28.png"/><Relationship Id="rId25" Type="http://schemas.openxmlformats.org/officeDocument/2006/relationships/hyperlink" Target="#Persona!A1"/><Relationship Id="rId16" Type="http://schemas.microsoft.com/office/2007/relationships/diagramDrawing" Target="../diagrams/drawing9.xml"/><Relationship Id="rId20" Type="http://schemas.openxmlformats.org/officeDocument/2006/relationships/hyperlink" Target="#Bibliography!A1"/><Relationship Id="rId24" Type="http://schemas.openxmlformats.org/officeDocument/2006/relationships/image" Target="../media/image3.svg"/><Relationship Id="rId15" Type="http://schemas.openxmlformats.org/officeDocument/2006/relationships/diagramColors" Target="../diagrams/colors9.xml"/><Relationship Id="rId23" Type="http://schemas.openxmlformats.org/officeDocument/2006/relationships/image" Target="../media/image2.png"/><Relationship Id="rId19" Type="http://schemas.openxmlformats.org/officeDocument/2006/relationships/image" Target="../media/image27.svg"/><Relationship Id="rId14" Type="http://schemas.openxmlformats.org/officeDocument/2006/relationships/diagramQuickStyle" Target="../diagrams/quickStyle9.xml"/><Relationship Id="rId22" Type="http://schemas.openxmlformats.org/officeDocument/2006/relationships/hyperlink" Target="#Journey!A1"/><Relationship Id="rId27" Type="http://schemas.openxmlformats.org/officeDocument/2006/relationships/image" Target="../media/image5.svg"/></Relationships>
</file>

<file path=xl/drawings/_rels/drawing2.xml.rels><?xml version="1.0" encoding="UTF-8" standalone="yes"?>
<Relationships xmlns="http://schemas.openxmlformats.org/package/2006/relationships"><Relationship Id="rId8" Type="http://schemas.openxmlformats.org/officeDocument/2006/relationships/hyperlink" Target="#Bibliography!A1"/><Relationship Id="rId3" Type="http://schemas.openxmlformats.org/officeDocument/2006/relationships/image" Target="../media/image3.svg"/><Relationship Id="rId7" Type="http://schemas.openxmlformats.org/officeDocument/2006/relationships/hyperlink" Target="#Glossary!A1"/><Relationship Id="rId2" Type="http://schemas.openxmlformats.org/officeDocument/2006/relationships/image" Target="../media/image2.png"/><Relationship Id="rId1" Type="http://schemas.openxmlformats.org/officeDocument/2006/relationships/hyperlink" Target="#Journey!A1"/><Relationship Id="rId6" Type="http://schemas.openxmlformats.org/officeDocument/2006/relationships/image" Target="../media/image5.svg"/><Relationship Id="rId5" Type="http://schemas.openxmlformats.org/officeDocument/2006/relationships/image" Target="../media/image4.png"/><Relationship Id="rId4" Type="http://schemas.openxmlformats.org/officeDocument/2006/relationships/hyperlink" Target="#Persona!A1"/></Relationships>
</file>

<file path=xl/drawings/_rels/drawing20.xml.rels><?xml version="1.0" encoding="UTF-8" standalone="yes"?>
<Relationships xmlns="http://schemas.openxmlformats.org/package/2006/relationships"><Relationship Id="rId8" Type="http://schemas.openxmlformats.org/officeDocument/2006/relationships/hyperlink" Target="#Persona!A1"/><Relationship Id="rId3" Type="http://schemas.openxmlformats.org/officeDocument/2006/relationships/hyperlink" Target="#Bibliography!A1"/><Relationship Id="rId7" Type="http://schemas.openxmlformats.org/officeDocument/2006/relationships/image" Target="../media/image3.svg"/><Relationship Id="rId2" Type="http://schemas.openxmlformats.org/officeDocument/2006/relationships/image" Target="../media/image32.gif"/><Relationship Id="rId1" Type="http://schemas.openxmlformats.org/officeDocument/2006/relationships/image" Target="../media/image28.png"/><Relationship Id="rId6" Type="http://schemas.openxmlformats.org/officeDocument/2006/relationships/image" Target="../media/image2.png"/><Relationship Id="rId5" Type="http://schemas.openxmlformats.org/officeDocument/2006/relationships/hyperlink" Target="#Journey!A1"/><Relationship Id="rId10" Type="http://schemas.openxmlformats.org/officeDocument/2006/relationships/image" Target="../media/image5.svg"/><Relationship Id="rId4" Type="http://schemas.openxmlformats.org/officeDocument/2006/relationships/hyperlink" Target="#Glossary!A1"/><Relationship Id="rId9" Type="http://schemas.openxmlformats.org/officeDocument/2006/relationships/image" Target="../media/image4.png"/></Relationships>
</file>

<file path=xl/drawings/_rels/drawing21.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hyperlink" Target="#Glossary!A1"/><Relationship Id="rId7" Type="http://schemas.openxmlformats.org/officeDocument/2006/relationships/hyperlink" Target="#Persona!A1"/><Relationship Id="rId2" Type="http://schemas.openxmlformats.org/officeDocument/2006/relationships/hyperlink" Target="#Bibliography!A1"/><Relationship Id="rId1" Type="http://schemas.openxmlformats.org/officeDocument/2006/relationships/image" Target="../media/image28.png"/><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hyperlink" Target="#Journey!A1"/><Relationship Id="rId9" Type="http://schemas.openxmlformats.org/officeDocument/2006/relationships/image" Target="../media/image5.svg"/></Relationships>
</file>

<file path=xl/drawings/_rels/drawing22.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hyperlink" Target="#Glossary!A1"/><Relationship Id="rId7" Type="http://schemas.openxmlformats.org/officeDocument/2006/relationships/hyperlink" Target="#Persona!A1"/><Relationship Id="rId2" Type="http://schemas.openxmlformats.org/officeDocument/2006/relationships/hyperlink" Target="#Bibliography!A1"/><Relationship Id="rId1" Type="http://schemas.openxmlformats.org/officeDocument/2006/relationships/image" Target="../media/image28.png"/><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hyperlink" Target="#Journey!A1"/><Relationship Id="rId9" Type="http://schemas.openxmlformats.org/officeDocument/2006/relationships/image" Target="../media/image5.svg"/></Relationships>
</file>

<file path=xl/drawings/_rels/drawing23.xml.rels><?xml version="1.0" encoding="UTF-8" standalone="yes"?>
<Relationships xmlns="http://schemas.openxmlformats.org/package/2006/relationships"><Relationship Id="rId8" Type="http://schemas.openxmlformats.org/officeDocument/2006/relationships/hyperlink" Target="#Persona!A1"/><Relationship Id="rId3" Type="http://schemas.openxmlformats.org/officeDocument/2006/relationships/hyperlink" Target="#Bibliography!A1"/><Relationship Id="rId7" Type="http://schemas.openxmlformats.org/officeDocument/2006/relationships/image" Target="../media/image3.svg"/><Relationship Id="rId2" Type="http://schemas.openxmlformats.org/officeDocument/2006/relationships/image" Target="../media/image28.png"/><Relationship Id="rId1" Type="http://schemas.openxmlformats.org/officeDocument/2006/relationships/image" Target="../media/image33.gif"/><Relationship Id="rId6" Type="http://schemas.openxmlformats.org/officeDocument/2006/relationships/image" Target="../media/image2.png"/><Relationship Id="rId5" Type="http://schemas.openxmlformats.org/officeDocument/2006/relationships/hyperlink" Target="#Journey!A1"/><Relationship Id="rId10" Type="http://schemas.openxmlformats.org/officeDocument/2006/relationships/image" Target="../media/image5.svg"/><Relationship Id="rId4" Type="http://schemas.openxmlformats.org/officeDocument/2006/relationships/hyperlink" Target="#Glossary!A1"/><Relationship Id="rId9" Type="http://schemas.openxmlformats.org/officeDocument/2006/relationships/image" Target="../media/image4.png"/></Relationships>
</file>

<file path=xl/drawings/_rels/drawing24.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svg"/><Relationship Id="rId18" Type="http://schemas.openxmlformats.org/officeDocument/2006/relationships/image" Target="../media/image2.png"/><Relationship Id="rId3" Type="http://schemas.openxmlformats.org/officeDocument/2006/relationships/diagramQuickStyle" Target="../diagrams/quickStyle10.xml"/><Relationship Id="rId21" Type="http://schemas.openxmlformats.org/officeDocument/2006/relationships/image" Target="../media/image4.png"/><Relationship Id="rId7" Type="http://schemas.openxmlformats.org/officeDocument/2006/relationships/image" Target="../media/image35.svg"/><Relationship Id="rId12" Type="http://schemas.openxmlformats.org/officeDocument/2006/relationships/image" Target="../media/image40.png"/><Relationship Id="rId17" Type="http://schemas.openxmlformats.org/officeDocument/2006/relationships/hyperlink" Target="#Journey!A1"/><Relationship Id="rId2" Type="http://schemas.openxmlformats.org/officeDocument/2006/relationships/diagramLayout" Target="../diagrams/layout10.xml"/><Relationship Id="rId16" Type="http://schemas.openxmlformats.org/officeDocument/2006/relationships/hyperlink" Target="#Glossary!A1"/><Relationship Id="rId20" Type="http://schemas.openxmlformats.org/officeDocument/2006/relationships/hyperlink" Target="#Persona!A1"/><Relationship Id="rId1" Type="http://schemas.openxmlformats.org/officeDocument/2006/relationships/diagramData" Target="../diagrams/data10.xml"/><Relationship Id="rId6" Type="http://schemas.openxmlformats.org/officeDocument/2006/relationships/image" Target="../media/image34.png"/><Relationship Id="rId11" Type="http://schemas.openxmlformats.org/officeDocument/2006/relationships/image" Target="../media/image39.svg"/><Relationship Id="rId5" Type="http://schemas.microsoft.com/office/2007/relationships/diagramDrawing" Target="../diagrams/drawing10.xml"/><Relationship Id="rId15" Type="http://schemas.openxmlformats.org/officeDocument/2006/relationships/hyperlink" Target="#Bibliography!A1"/><Relationship Id="rId10" Type="http://schemas.openxmlformats.org/officeDocument/2006/relationships/image" Target="../media/image38.png"/><Relationship Id="rId19" Type="http://schemas.openxmlformats.org/officeDocument/2006/relationships/image" Target="../media/image3.svg"/><Relationship Id="rId4" Type="http://schemas.openxmlformats.org/officeDocument/2006/relationships/diagramColors" Target="../diagrams/colors10.xml"/><Relationship Id="rId9" Type="http://schemas.openxmlformats.org/officeDocument/2006/relationships/image" Target="../media/image37.svg"/><Relationship Id="rId14" Type="http://schemas.openxmlformats.org/officeDocument/2006/relationships/image" Target="../media/image28.png"/><Relationship Id="rId22" Type="http://schemas.openxmlformats.org/officeDocument/2006/relationships/image" Target="../media/image5.svg"/></Relationships>
</file>

<file path=xl/drawings/_rels/drawing25.xml.rels><?xml version="1.0" encoding="UTF-8" standalone="yes"?>
<Relationships xmlns="http://schemas.openxmlformats.org/package/2006/relationships"><Relationship Id="rId8" Type="http://schemas.openxmlformats.org/officeDocument/2006/relationships/image" Target="../media/image2.png"/><Relationship Id="rId3" Type="http://schemas.openxmlformats.org/officeDocument/2006/relationships/hyperlink" Target="#'1B RACI'!A1"/><Relationship Id="rId7" Type="http://schemas.openxmlformats.org/officeDocument/2006/relationships/hyperlink" Target="#Journey!A1"/><Relationship Id="rId12" Type="http://schemas.openxmlformats.org/officeDocument/2006/relationships/image" Target="../media/image5.svg"/><Relationship Id="rId2" Type="http://schemas.openxmlformats.org/officeDocument/2006/relationships/image" Target="../media/image43.svg"/><Relationship Id="rId1" Type="http://schemas.openxmlformats.org/officeDocument/2006/relationships/image" Target="../media/image42.png"/><Relationship Id="rId6" Type="http://schemas.openxmlformats.org/officeDocument/2006/relationships/hyperlink" Target="#Glossary!A1"/><Relationship Id="rId11" Type="http://schemas.openxmlformats.org/officeDocument/2006/relationships/image" Target="../media/image4.png"/><Relationship Id="rId5" Type="http://schemas.openxmlformats.org/officeDocument/2006/relationships/hyperlink" Target="#Bibliography!A1"/><Relationship Id="rId10" Type="http://schemas.openxmlformats.org/officeDocument/2006/relationships/hyperlink" Target="#Persona!A1"/><Relationship Id="rId4" Type="http://schemas.openxmlformats.org/officeDocument/2006/relationships/image" Target="../media/image28.png"/><Relationship Id="rId9" Type="http://schemas.openxmlformats.org/officeDocument/2006/relationships/image" Target="../media/image3.svg"/></Relationships>
</file>

<file path=xl/drawings/_rels/drawing26.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hyperlink" Target="#Glossary!A1"/><Relationship Id="rId7" Type="http://schemas.openxmlformats.org/officeDocument/2006/relationships/hyperlink" Target="#Persona!A1"/><Relationship Id="rId2" Type="http://schemas.openxmlformats.org/officeDocument/2006/relationships/hyperlink" Target="#Bibliography!A1"/><Relationship Id="rId1" Type="http://schemas.openxmlformats.org/officeDocument/2006/relationships/image" Target="../media/image28.png"/><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hyperlink" Target="#Journey!A1"/><Relationship Id="rId9" Type="http://schemas.openxmlformats.org/officeDocument/2006/relationships/image" Target="../media/image5.svg"/></Relationships>
</file>

<file path=xl/drawings/_rels/drawing27.xml.rels><?xml version="1.0" encoding="UTF-8" standalone="yes"?>
<Relationships xmlns="http://schemas.openxmlformats.org/package/2006/relationships"><Relationship Id="rId8" Type="http://schemas.openxmlformats.org/officeDocument/2006/relationships/diagramData" Target="../diagrams/data12.xml"/><Relationship Id="rId13" Type="http://schemas.openxmlformats.org/officeDocument/2006/relationships/image" Target="../media/image44.gif"/><Relationship Id="rId18" Type="http://schemas.openxmlformats.org/officeDocument/2006/relationships/hyperlink" Target="#Journey!A1"/><Relationship Id="rId3" Type="http://schemas.openxmlformats.org/officeDocument/2006/relationships/diagramQuickStyle" Target="../diagrams/quickStyle11.xml"/><Relationship Id="rId21" Type="http://schemas.openxmlformats.org/officeDocument/2006/relationships/hyperlink" Target="#Persona!A1"/><Relationship Id="rId12" Type="http://schemas.microsoft.com/office/2007/relationships/diagramDrawing" Target="../diagrams/drawing12.xml"/><Relationship Id="rId17" Type="http://schemas.openxmlformats.org/officeDocument/2006/relationships/hyperlink" Target="#Glossary!A1"/><Relationship Id="rId2" Type="http://schemas.openxmlformats.org/officeDocument/2006/relationships/diagramLayout" Target="../diagrams/layout11.xml"/><Relationship Id="rId16" Type="http://schemas.openxmlformats.org/officeDocument/2006/relationships/hyperlink" Target="#Bibliography!A1"/><Relationship Id="rId20" Type="http://schemas.openxmlformats.org/officeDocument/2006/relationships/image" Target="../media/image3.svg"/><Relationship Id="rId1" Type="http://schemas.openxmlformats.org/officeDocument/2006/relationships/diagramData" Target="../diagrams/data11.xml"/><Relationship Id="rId11" Type="http://schemas.openxmlformats.org/officeDocument/2006/relationships/diagramColors" Target="../diagrams/colors12.xml"/><Relationship Id="rId5" Type="http://schemas.microsoft.com/office/2007/relationships/diagramDrawing" Target="../diagrams/drawing11.xml"/><Relationship Id="rId15" Type="http://schemas.openxmlformats.org/officeDocument/2006/relationships/image" Target="../media/image45.gif"/><Relationship Id="rId23" Type="http://schemas.openxmlformats.org/officeDocument/2006/relationships/image" Target="../media/image5.svg"/><Relationship Id="rId10" Type="http://schemas.openxmlformats.org/officeDocument/2006/relationships/diagramQuickStyle" Target="../diagrams/quickStyle12.xml"/><Relationship Id="rId19" Type="http://schemas.openxmlformats.org/officeDocument/2006/relationships/image" Target="../media/image2.png"/><Relationship Id="rId9" Type="http://schemas.openxmlformats.org/officeDocument/2006/relationships/diagramLayout" Target="../diagrams/layout12.xml"/><Relationship Id="rId4" Type="http://schemas.openxmlformats.org/officeDocument/2006/relationships/diagramColors" Target="../diagrams/colors11.xml"/><Relationship Id="rId14" Type="http://schemas.openxmlformats.org/officeDocument/2006/relationships/image" Target="../media/image28.png"/><Relationship Id="rId22" Type="http://schemas.openxmlformats.org/officeDocument/2006/relationships/image" Target="../media/image4.png"/></Relationships>
</file>

<file path=xl/drawings/_rels/drawing28.xml.rels><?xml version="1.0" encoding="UTF-8" standalone="yes"?>
<Relationships xmlns="http://schemas.openxmlformats.org/package/2006/relationships"><Relationship Id="rId8" Type="http://schemas.openxmlformats.org/officeDocument/2006/relationships/hyperlink" Target="#Bibliography!A1"/><Relationship Id="rId13" Type="http://schemas.openxmlformats.org/officeDocument/2006/relationships/hyperlink" Target="#Persona!A1"/><Relationship Id="rId3" Type="http://schemas.openxmlformats.org/officeDocument/2006/relationships/diagramQuickStyle" Target="../diagrams/quickStyle13.xml"/><Relationship Id="rId7" Type="http://schemas.openxmlformats.org/officeDocument/2006/relationships/image" Target="../media/image44.gif"/><Relationship Id="rId12" Type="http://schemas.openxmlformats.org/officeDocument/2006/relationships/image" Target="../media/image3.svg"/><Relationship Id="rId2" Type="http://schemas.openxmlformats.org/officeDocument/2006/relationships/diagramLayout" Target="../diagrams/layout13.xml"/><Relationship Id="rId1" Type="http://schemas.openxmlformats.org/officeDocument/2006/relationships/diagramData" Target="../diagrams/data13.xml"/><Relationship Id="rId6" Type="http://schemas.openxmlformats.org/officeDocument/2006/relationships/image" Target="../media/image28.png"/><Relationship Id="rId11" Type="http://schemas.openxmlformats.org/officeDocument/2006/relationships/image" Target="../media/image2.png"/><Relationship Id="rId5" Type="http://schemas.microsoft.com/office/2007/relationships/diagramDrawing" Target="../diagrams/drawing13.xml"/><Relationship Id="rId15" Type="http://schemas.openxmlformats.org/officeDocument/2006/relationships/image" Target="../media/image5.svg"/><Relationship Id="rId10" Type="http://schemas.openxmlformats.org/officeDocument/2006/relationships/hyperlink" Target="#Journey!A1"/><Relationship Id="rId4" Type="http://schemas.openxmlformats.org/officeDocument/2006/relationships/diagramColors" Target="../diagrams/colors13.xml"/><Relationship Id="rId9" Type="http://schemas.openxmlformats.org/officeDocument/2006/relationships/hyperlink" Target="#Glossary!A1"/><Relationship Id="rId14" Type="http://schemas.openxmlformats.org/officeDocument/2006/relationships/image" Target="../media/image4.png"/></Relationships>
</file>

<file path=xl/drawings/_rels/drawing29.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hyperlink" Target="#Glossary!A1"/><Relationship Id="rId7" Type="http://schemas.openxmlformats.org/officeDocument/2006/relationships/hyperlink" Target="#Persona!A1"/><Relationship Id="rId2" Type="http://schemas.openxmlformats.org/officeDocument/2006/relationships/hyperlink" Target="#Bibliography!A1"/><Relationship Id="rId1" Type="http://schemas.openxmlformats.org/officeDocument/2006/relationships/image" Target="../media/image28.png"/><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hyperlink" Target="#Journey!A1"/><Relationship Id="rId9" Type="http://schemas.openxmlformats.org/officeDocument/2006/relationships/image" Target="../media/image5.svg"/></Relationships>
</file>

<file path=xl/drawings/_rels/drawing3.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30.xml.rels><?xml version="1.0" encoding="UTF-8" standalone="yes"?>
<Relationships xmlns="http://schemas.openxmlformats.org/package/2006/relationships"><Relationship Id="rId13" Type="http://schemas.openxmlformats.org/officeDocument/2006/relationships/diagramColors" Target="../diagrams/colors14.xml"/><Relationship Id="rId18" Type="http://schemas.openxmlformats.org/officeDocument/2006/relationships/hyperlink" Target="#Journey!A1"/><Relationship Id="rId21" Type="http://schemas.openxmlformats.org/officeDocument/2006/relationships/hyperlink" Target="#Persona!A1"/><Relationship Id="rId12" Type="http://schemas.openxmlformats.org/officeDocument/2006/relationships/diagramQuickStyle" Target="../diagrams/quickStyle14.xml"/><Relationship Id="rId17" Type="http://schemas.openxmlformats.org/officeDocument/2006/relationships/hyperlink" Target="#Glossary!A1"/><Relationship Id="rId16" Type="http://schemas.openxmlformats.org/officeDocument/2006/relationships/hyperlink" Target="#Bibliography!A1"/><Relationship Id="rId20" Type="http://schemas.openxmlformats.org/officeDocument/2006/relationships/image" Target="../media/image3.svg"/><Relationship Id="rId11" Type="http://schemas.openxmlformats.org/officeDocument/2006/relationships/diagramLayout" Target="../diagrams/layout14.xml"/><Relationship Id="rId15" Type="http://schemas.openxmlformats.org/officeDocument/2006/relationships/image" Target="../media/image28.png"/><Relationship Id="rId23" Type="http://schemas.openxmlformats.org/officeDocument/2006/relationships/image" Target="../media/image5.svg"/><Relationship Id="rId10" Type="http://schemas.openxmlformats.org/officeDocument/2006/relationships/diagramData" Target="../diagrams/data14.xml"/><Relationship Id="rId19" Type="http://schemas.openxmlformats.org/officeDocument/2006/relationships/image" Target="../media/image2.png"/><Relationship Id="rId14" Type="http://schemas.microsoft.com/office/2007/relationships/diagramDrawing" Target="../diagrams/drawing14.xml"/><Relationship Id="rId22" Type="http://schemas.openxmlformats.org/officeDocument/2006/relationships/image" Target="../media/image4.png"/></Relationships>
</file>

<file path=xl/drawings/_rels/drawing31.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32.xml.rels><?xml version="1.0" encoding="UTF-8" standalone="yes"?>
<Relationships xmlns="http://schemas.openxmlformats.org/package/2006/relationships"><Relationship Id="rId8" Type="http://schemas.openxmlformats.org/officeDocument/2006/relationships/image" Target="../media/image51.svg"/><Relationship Id="rId13" Type="http://schemas.openxmlformats.org/officeDocument/2006/relationships/image" Target="../media/image56.png"/><Relationship Id="rId18" Type="http://schemas.openxmlformats.org/officeDocument/2006/relationships/image" Target="../media/image59.svg"/><Relationship Id="rId26" Type="http://schemas.openxmlformats.org/officeDocument/2006/relationships/hyperlink" Target="#Persona!A1"/><Relationship Id="rId3" Type="http://schemas.openxmlformats.org/officeDocument/2006/relationships/image" Target="../media/image18.png"/><Relationship Id="rId21" Type="http://schemas.openxmlformats.org/officeDocument/2006/relationships/hyperlink" Target="#Bibliography!A1"/><Relationship Id="rId7" Type="http://schemas.openxmlformats.org/officeDocument/2006/relationships/image" Target="../media/image50.png"/><Relationship Id="rId12" Type="http://schemas.openxmlformats.org/officeDocument/2006/relationships/image" Target="../media/image55.svg"/><Relationship Id="rId17" Type="http://schemas.openxmlformats.org/officeDocument/2006/relationships/image" Target="../media/image58.png"/><Relationship Id="rId25" Type="http://schemas.openxmlformats.org/officeDocument/2006/relationships/image" Target="../media/image3.svg"/><Relationship Id="rId2" Type="http://schemas.openxmlformats.org/officeDocument/2006/relationships/image" Target="../media/image47.svg"/><Relationship Id="rId16" Type="http://schemas.openxmlformats.org/officeDocument/2006/relationships/image" Target="../media/image21.svg"/><Relationship Id="rId20" Type="http://schemas.openxmlformats.org/officeDocument/2006/relationships/image" Target="../media/image61.svg"/><Relationship Id="rId1" Type="http://schemas.openxmlformats.org/officeDocument/2006/relationships/image" Target="../media/image46.png"/><Relationship Id="rId6" Type="http://schemas.openxmlformats.org/officeDocument/2006/relationships/image" Target="../media/image49.svg"/><Relationship Id="rId11" Type="http://schemas.openxmlformats.org/officeDocument/2006/relationships/image" Target="../media/image54.png"/><Relationship Id="rId24" Type="http://schemas.openxmlformats.org/officeDocument/2006/relationships/image" Target="../media/image2.png"/><Relationship Id="rId5" Type="http://schemas.openxmlformats.org/officeDocument/2006/relationships/image" Target="../media/image48.png"/><Relationship Id="rId15" Type="http://schemas.openxmlformats.org/officeDocument/2006/relationships/image" Target="../media/image20.png"/><Relationship Id="rId23" Type="http://schemas.openxmlformats.org/officeDocument/2006/relationships/hyperlink" Target="#Journey!A1"/><Relationship Id="rId28" Type="http://schemas.openxmlformats.org/officeDocument/2006/relationships/image" Target="../media/image5.svg"/><Relationship Id="rId10" Type="http://schemas.openxmlformats.org/officeDocument/2006/relationships/image" Target="../media/image53.svg"/><Relationship Id="rId19" Type="http://schemas.openxmlformats.org/officeDocument/2006/relationships/image" Target="../media/image60.png"/><Relationship Id="rId4" Type="http://schemas.openxmlformats.org/officeDocument/2006/relationships/image" Target="../media/image19.svg"/><Relationship Id="rId9" Type="http://schemas.openxmlformats.org/officeDocument/2006/relationships/image" Target="../media/image52.png"/><Relationship Id="rId14" Type="http://schemas.openxmlformats.org/officeDocument/2006/relationships/image" Target="../media/image57.svg"/><Relationship Id="rId22" Type="http://schemas.openxmlformats.org/officeDocument/2006/relationships/hyperlink" Target="#Glossary!A1"/><Relationship Id="rId27" Type="http://schemas.openxmlformats.org/officeDocument/2006/relationships/image" Target="../media/image4.png"/></Relationships>
</file>

<file path=xl/drawings/_rels/drawing33.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34.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35.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36.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37.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38.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39.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svg"/><Relationship Id="rId13" Type="http://schemas.openxmlformats.org/officeDocument/2006/relationships/image" Target="../media/image18.png"/><Relationship Id="rId18" Type="http://schemas.openxmlformats.org/officeDocument/2006/relationships/image" Target="../media/image23.svg"/><Relationship Id="rId26" Type="http://schemas.openxmlformats.org/officeDocument/2006/relationships/hyperlink" Target="#Persona!A1"/><Relationship Id="rId3" Type="http://schemas.openxmlformats.org/officeDocument/2006/relationships/image" Target="../media/image8.png"/><Relationship Id="rId21" Type="http://schemas.openxmlformats.org/officeDocument/2006/relationships/hyperlink" Target="#Bibliography!A1"/><Relationship Id="rId7" Type="http://schemas.openxmlformats.org/officeDocument/2006/relationships/image" Target="../media/image12.png"/><Relationship Id="rId12" Type="http://schemas.openxmlformats.org/officeDocument/2006/relationships/image" Target="../media/image17.svg"/><Relationship Id="rId17" Type="http://schemas.openxmlformats.org/officeDocument/2006/relationships/image" Target="../media/image22.png"/><Relationship Id="rId25" Type="http://schemas.openxmlformats.org/officeDocument/2006/relationships/image" Target="../media/image3.svg"/><Relationship Id="rId2" Type="http://schemas.openxmlformats.org/officeDocument/2006/relationships/image" Target="../media/image7.svg"/><Relationship Id="rId16" Type="http://schemas.openxmlformats.org/officeDocument/2006/relationships/image" Target="../media/image21.svg"/><Relationship Id="rId20" Type="http://schemas.openxmlformats.org/officeDocument/2006/relationships/image" Target="../media/image25.svg"/><Relationship Id="rId1" Type="http://schemas.openxmlformats.org/officeDocument/2006/relationships/image" Target="../media/image6.png"/><Relationship Id="rId6" Type="http://schemas.openxmlformats.org/officeDocument/2006/relationships/image" Target="../media/image11.svg"/><Relationship Id="rId11" Type="http://schemas.openxmlformats.org/officeDocument/2006/relationships/image" Target="../media/image16.png"/><Relationship Id="rId24" Type="http://schemas.openxmlformats.org/officeDocument/2006/relationships/image" Target="../media/image2.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hyperlink" Target="#Journey!A1"/><Relationship Id="rId28" Type="http://schemas.openxmlformats.org/officeDocument/2006/relationships/image" Target="../media/image5.svg"/><Relationship Id="rId10" Type="http://schemas.openxmlformats.org/officeDocument/2006/relationships/image" Target="../media/image15.svg"/><Relationship Id="rId19" Type="http://schemas.openxmlformats.org/officeDocument/2006/relationships/image" Target="../media/image24.png"/><Relationship Id="rId4" Type="http://schemas.openxmlformats.org/officeDocument/2006/relationships/image" Target="../media/image9.svg"/><Relationship Id="rId9" Type="http://schemas.openxmlformats.org/officeDocument/2006/relationships/image" Target="../media/image14.png"/><Relationship Id="rId14" Type="http://schemas.openxmlformats.org/officeDocument/2006/relationships/image" Target="../media/image19.svg"/><Relationship Id="rId22" Type="http://schemas.openxmlformats.org/officeDocument/2006/relationships/hyperlink" Target="#Glossary!A1"/><Relationship Id="rId27" Type="http://schemas.openxmlformats.org/officeDocument/2006/relationships/image" Target="../media/image4.png"/></Relationships>
</file>

<file path=xl/drawings/_rels/drawing7.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Journey!A1"/><Relationship Id="rId7" Type="http://schemas.openxmlformats.org/officeDocument/2006/relationships/image" Target="../media/image4.png"/><Relationship Id="rId2" Type="http://schemas.openxmlformats.org/officeDocument/2006/relationships/hyperlink" Target="#Glossary!A1"/><Relationship Id="rId1" Type="http://schemas.openxmlformats.org/officeDocument/2006/relationships/hyperlink" Target="#Bibliography!A1"/><Relationship Id="rId6" Type="http://schemas.openxmlformats.org/officeDocument/2006/relationships/hyperlink" Target="#Persona!A1"/><Relationship Id="rId5" Type="http://schemas.openxmlformats.org/officeDocument/2006/relationships/image" Target="../media/image3.svg"/><Relationship Id="rId4" Type="http://schemas.openxmlformats.org/officeDocument/2006/relationships/image" Target="../media/image2.png"/></Relationships>
</file>

<file path=xl/drawings/_rels/drawing9.xml.rels><?xml version="1.0" encoding="UTF-8" standalone="yes"?>
<Relationships xmlns="http://schemas.openxmlformats.org/package/2006/relationships"><Relationship Id="rId26" Type="http://schemas.openxmlformats.org/officeDocument/2006/relationships/diagramData" Target="../diagrams/data6.xml"/><Relationship Id="rId13" Type="http://schemas.openxmlformats.org/officeDocument/2006/relationships/diagramQuickStyle" Target="../diagrams/quickStyle3.xml"/><Relationship Id="rId18" Type="http://schemas.openxmlformats.org/officeDocument/2006/relationships/diagramQuickStyle" Target="../diagrams/quickStyle4.xml"/><Relationship Id="rId39" Type="http://schemas.openxmlformats.org/officeDocument/2006/relationships/hyperlink" Target="#Glossary!A1"/><Relationship Id="rId21" Type="http://schemas.openxmlformats.org/officeDocument/2006/relationships/diagramData" Target="../diagrams/data5.xml"/><Relationship Id="rId34" Type="http://schemas.openxmlformats.org/officeDocument/2006/relationships/diagramColors" Target="../diagrams/colors7.xml"/><Relationship Id="rId42" Type="http://schemas.openxmlformats.org/officeDocument/2006/relationships/image" Target="../media/image3.svg"/><Relationship Id="rId7" Type="http://schemas.openxmlformats.org/officeDocument/2006/relationships/diagramLayout" Target="../diagrams/layout2.xml"/><Relationship Id="rId16" Type="http://schemas.openxmlformats.org/officeDocument/2006/relationships/diagramData" Target="../diagrams/data4.xml"/><Relationship Id="rId2" Type="http://schemas.openxmlformats.org/officeDocument/2006/relationships/diagramLayout" Target="../diagrams/layout1.xml"/><Relationship Id="rId29" Type="http://schemas.openxmlformats.org/officeDocument/2006/relationships/diagramColors" Target="../diagrams/colors6.xml"/><Relationship Id="rId1" Type="http://schemas.openxmlformats.org/officeDocument/2006/relationships/diagramData" Target="../diagrams/data1.xml"/><Relationship Id="rId6" Type="http://schemas.openxmlformats.org/officeDocument/2006/relationships/diagramData" Target="../diagrams/data2.xml"/><Relationship Id="rId11" Type="http://schemas.openxmlformats.org/officeDocument/2006/relationships/diagramData" Target="../diagrams/data3.xml"/><Relationship Id="rId32" Type="http://schemas.openxmlformats.org/officeDocument/2006/relationships/diagramLayout" Target="../diagrams/layout7.xml"/><Relationship Id="rId24" Type="http://schemas.openxmlformats.org/officeDocument/2006/relationships/diagramColors" Target="../diagrams/colors5.xml"/><Relationship Id="rId37" Type="http://schemas.openxmlformats.org/officeDocument/2006/relationships/image" Target="../media/image27.svg"/><Relationship Id="rId40" Type="http://schemas.openxmlformats.org/officeDocument/2006/relationships/hyperlink" Target="#Journey!A1"/><Relationship Id="rId45" Type="http://schemas.openxmlformats.org/officeDocument/2006/relationships/image" Target="../media/image5.svg"/><Relationship Id="rId23" Type="http://schemas.openxmlformats.org/officeDocument/2006/relationships/diagramQuickStyle" Target="../diagrams/quickStyle5.xml"/><Relationship Id="rId28" Type="http://schemas.openxmlformats.org/officeDocument/2006/relationships/diagramQuickStyle" Target="../diagrams/quickStyle6.xml"/><Relationship Id="rId5" Type="http://schemas.microsoft.com/office/2007/relationships/diagramDrawing" Target="../diagrams/drawing1.xml"/><Relationship Id="rId15" Type="http://schemas.microsoft.com/office/2007/relationships/diagramDrawing" Target="../diagrams/drawing3.xml"/><Relationship Id="rId36" Type="http://schemas.openxmlformats.org/officeDocument/2006/relationships/image" Target="../media/image26.png"/><Relationship Id="rId31" Type="http://schemas.openxmlformats.org/officeDocument/2006/relationships/diagramData" Target="../diagrams/data7.xml"/><Relationship Id="rId19" Type="http://schemas.openxmlformats.org/officeDocument/2006/relationships/diagramColors" Target="../diagrams/colors4.xml"/><Relationship Id="rId10" Type="http://schemas.microsoft.com/office/2007/relationships/diagramDrawing" Target="../diagrams/drawing2.xml"/><Relationship Id="rId44" Type="http://schemas.openxmlformats.org/officeDocument/2006/relationships/image" Target="../media/image4.png"/><Relationship Id="rId22" Type="http://schemas.openxmlformats.org/officeDocument/2006/relationships/diagramLayout" Target="../diagrams/layout5.xml"/><Relationship Id="rId27" Type="http://schemas.openxmlformats.org/officeDocument/2006/relationships/diagramLayout" Target="../diagrams/layout6.xml"/><Relationship Id="rId4" Type="http://schemas.openxmlformats.org/officeDocument/2006/relationships/diagramColors" Target="../diagrams/colors1.xml"/><Relationship Id="rId9" Type="http://schemas.openxmlformats.org/officeDocument/2006/relationships/diagramColors" Target="../diagrams/colors2.xml"/><Relationship Id="rId14" Type="http://schemas.openxmlformats.org/officeDocument/2006/relationships/diagramColors" Target="../diagrams/colors3.xml"/><Relationship Id="rId30" Type="http://schemas.microsoft.com/office/2007/relationships/diagramDrawing" Target="../diagrams/drawing6.xml"/><Relationship Id="rId35" Type="http://schemas.microsoft.com/office/2007/relationships/diagramDrawing" Target="../diagrams/drawing7.xml"/><Relationship Id="rId43" Type="http://schemas.openxmlformats.org/officeDocument/2006/relationships/hyperlink" Target="#Persona!A1"/><Relationship Id="rId8" Type="http://schemas.openxmlformats.org/officeDocument/2006/relationships/diagramQuickStyle" Target="../diagrams/quickStyle2.xml"/><Relationship Id="rId3" Type="http://schemas.openxmlformats.org/officeDocument/2006/relationships/diagramQuickStyle" Target="../diagrams/quickStyle1.xml"/><Relationship Id="rId12" Type="http://schemas.openxmlformats.org/officeDocument/2006/relationships/diagramLayout" Target="../diagrams/layout3.xml"/><Relationship Id="rId17" Type="http://schemas.openxmlformats.org/officeDocument/2006/relationships/diagramLayout" Target="../diagrams/layout4.xml"/><Relationship Id="rId33" Type="http://schemas.openxmlformats.org/officeDocument/2006/relationships/diagramQuickStyle" Target="../diagrams/quickStyle7.xml"/><Relationship Id="rId25" Type="http://schemas.microsoft.com/office/2007/relationships/diagramDrawing" Target="../diagrams/drawing5.xml"/><Relationship Id="rId38" Type="http://schemas.openxmlformats.org/officeDocument/2006/relationships/hyperlink" Target="#Bibliography!A1"/><Relationship Id="rId20" Type="http://schemas.microsoft.com/office/2007/relationships/diagramDrawing" Target="../diagrams/drawing4.xml"/><Relationship Id="rId4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absolute">
    <xdr:from>
      <xdr:col>1</xdr:col>
      <xdr:colOff>344647</xdr:colOff>
      <xdr:row>2</xdr:row>
      <xdr:rowOff>69345</xdr:rowOff>
    </xdr:from>
    <xdr:to>
      <xdr:col>3</xdr:col>
      <xdr:colOff>459875</xdr:colOff>
      <xdr:row>7</xdr:row>
      <xdr:rowOff>146553</xdr:rowOff>
    </xdr:to>
    <xdr:pic>
      <xdr:nvPicPr>
        <xdr:cNvPr id="2" name="Picture 1" descr="Azure logo stacked">
          <a:extLst>
            <a:ext uri="{FF2B5EF4-FFF2-40B4-BE49-F238E27FC236}">
              <a16:creationId xmlns:a16="http://schemas.microsoft.com/office/drawing/2014/main" id="{00000000-0008-0000-0100-00000200000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a:stretch/>
      </xdr:blipFill>
      <xdr:spPr bwMode="auto">
        <a:xfrm>
          <a:off x="749460" y="434470"/>
          <a:ext cx="2663165" cy="9900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469107</xdr:colOff>
      <xdr:row>1</xdr:row>
      <xdr:rowOff>3968</xdr:rowOff>
    </xdr:from>
    <xdr:to>
      <xdr:col>6</xdr:col>
      <xdr:colOff>9276557</xdr:colOff>
      <xdr:row>9</xdr:row>
      <xdr:rowOff>76358</xdr:rowOff>
    </xdr:to>
    <xdr:grpSp>
      <xdr:nvGrpSpPr>
        <xdr:cNvPr id="9" name="Group 8">
          <a:extLst>
            <a:ext uri="{FF2B5EF4-FFF2-40B4-BE49-F238E27FC236}">
              <a16:creationId xmlns:a16="http://schemas.microsoft.com/office/drawing/2014/main" id="{00000000-0008-0000-0100-000009000000}"/>
            </a:ext>
          </a:extLst>
        </xdr:cNvPr>
        <xdr:cNvGrpSpPr/>
      </xdr:nvGrpSpPr>
      <xdr:grpSpPr>
        <a:xfrm>
          <a:off x="3288507" y="184943"/>
          <a:ext cx="13655675" cy="1520190"/>
          <a:chOff x="3057551" y="4001"/>
          <a:chExt cx="11349989" cy="1545590"/>
        </a:xfrm>
      </xdr:grpSpPr>
      <xdr:sp macro="" textlink="">
        <xdr:nvSpPr>
          <xdr:cNvPr id="3" name="Rectangle: Rounded Corners 10">
            <a:extLst>
              <a:ext uri="{FF2B5EF4-FFF2-40B4-BE49-F238E27FC236}">
                <a16:creationId xmlns:a16="http://schemas.microsoft.com/office/drawing/2014/main" id="{00000000-0008-0000-0100-000003000000}"/>
              </a:ext>
            </a:extLst>
          </xdr:cNvPr>
          <xdr:cNvSpPr/>
        </xdr:nvSpPr>
        <xdr:spPr>
          <a:xfrm>
            <a:off x="3057551" y="4001"/>
            <a:ext cx="11349989" cy="1545590"/>
          </a:xfrm>
          <a:prstGeom prst="rect">
            <a:avLst/>
          </a:prstGeom>
          <a:solidFill>
            <a:schemeClr val="tx1">
              <a:lumMod val="75000"/>
              <a:lumOff val="25000"/>
            </a:schemeClr>
          </a:solidFill>
          <a:ln>
            <a:no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AU" sz="1100"/>
          </a:p>
        </xdr:txBody>
      </xdr:sp>
      <xdr:sp macro="" textlink="">
        <xdr:nvSpPr>
          <xdr:cNvPr id="4" name="TextBox 3">
            <a:extLst>
              <a:ext uri="{FF2B5EF4-FFF2-40B4-BE49-F238E27FC236}">
                <a16:creationId xmlns:a16="http://schemas.microsoft.com/office/drawing/2014/main" id="{00000000-0008-0000-0100-000004000000}"/>
              </a:ext>
            </a:extLst>
          </xdr:cNvPr>
          <xdr:cNvSpPr txBox="1"/>
        </xdr:nvSpPr>
        <xdr:spPr>
          <a:xfrm>
            <a:off x="3255451" y="72518"/>
            <a:ext cx="4108862" cy="889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2800">
                <a:solidFill>
                  <a:schemeClr val="bg1"/>
                </a:solidFill>
                <a:latin typeface="Segoe UI Semibold" panose="020B0702040204020203" pitchFamily="34" charset="0"/>
                <a:cs typeface="Segoe UI Semibold" panose="020B0702040204020203" pitchFamily="34" charset="0"/>
              </a:rPr>
              <a:t>FastTrack for Azure</a:t>
            </a:r>
          </a:p>
          <a:p>
            <a:pPr marL="0" marR="0" lvl="0" indent="0" defTabSz="914400" eaLnBrk="1" fontAlgn="auto" latinLnBrk="0" hangingPunct="1">
              <a:lnSpc>
                <a:spcPct val="100000"/>
              </a:lnSpc>
              <a:spcBef>
                <a:spcPts val="0"/>
              </a:spcBef>
              <a:spcAft>
                <a:spcPts val="0"/>
              </a:spcAft>
              <a:buClrTx/>
              <a:buSzTx/>
              <a:buFontTx/>
              <a:buNone/>
              <a:tabLst/>
              <a:defRPr/>
            </a:pPr>
            <a:r>
              <a:rPr kumimoji="0" lang="en-AU" sz="1400" b="0" i="0" u="none" strike="noStrike" kern="0" cap="none" spc="0" normalizeH="0" baseline="0" noProof="0">
                <a:ln>
                  <a:noFill/>
                </a:ln>
                <a:solidFill>
                  <a:prstClr val="white">
                    <a:lumMod val="95000"/>
                  </a:prstClr>
                </a:solidFill>
                <a:effectLst/>
                <a:uLnTx/>
                <a:uFillTx/>
                <a:latin typeface="Segoe UI Semibold" panose="020B0702040204020203" pitchFamily="34" charset="0"/>
                <a:ea typeface="+mn-ea"/>
                <a:cs typeface="Segoe UI Semibold" panose="020B0702040204020203" pitchFamily="34" charset="0"/>
              </a:rPr>
              <a:t>The Big Failover Guide</a:t>
            </a:r>
          </a:p>
        </xdr:txBody>
      </xdr:sp>
    </xdr:grpSp>
    <xdr:clientData/>
  </xdr:twoCellAnchor>
  <xdr:twoCellAnchor editAs="absolute">
    <xdr:from>
      <xdr:col>0</xdr:col>
      <xdr:colOff>262890</xdr:colOff>
      <xdr:row>10</xdr:row>
      <xdr:rowOff>116840</xdr:rowOff>
    </xdr:from>
    <xdr:to>
      <xdr:col>7</xdr:col>
      <xdr:colOff>2540</xdr:colOff>
      <xdr:row>21</xdr:row>
      <xdr:rowOff>2540</xdr:rowOff>
    </xdr:to>
    <xdr:sp macro="" textlink="">
      <xdr:nvSpPr>
        <xdr:cNvPr id="6" name="TextBox 1">
          <a:extLst>
            <a:ext uri="{FF2B5EF4-FFF2-40B4-BE49-F238E27FC236}">
              <a16:creationId xmlns:a16="http://schemas.microsoft.com/office/drawing/2014/main" id="{00000000-0008-0000-0100-000006000000}"/>
            </a:ext>
          </a:extLst>
        </xdr:cNvPr>
        <xdr:cNvSpPr txBox="1"/>
      </xdr:nvSpPr>
      <xdr:spPr>
        <a:xfrm>
          <a:off x="256540" y="1958340"/>
          <a:ext cx="17123410" cy="1915160"/>
        </a:xfrm>
        <a:prstGeom prst="rect">
          <a:avLst/>
        </a:prstGeom>
        <a:solidFill>
          <a:schemeClr val="bg1"/>
        </a:solidFill>
        <a:ln w="3175">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ctr"/>
        <a:lstStyle/>
        <a:p>
          <a:pPr algn="l"/>
          <a:r>
            <a:rPr lang="en-AU" sz="1100" b="1" i="0" baseline="0">
              <a:solidFill>
                <a:schemeClr val="tx1"/>
              </a:solidFill>
            </a:rPr>
            <a:t>Objectives</a:t>
          </a:r>
        </a:p>
        <a:p>
          <a:pPr algn="l"/>
          <a:endParaRPr lang="en-AU" sz="1100" b="1" i="0" baseline="0">
            <a:solidFill>
              <a:schemeClr val="tx1">
                <a:lumMod val="75000"/>
                <a:lumOff val="25000"/>
              </a:schemeClr>
            </a:solidFill>
          </a:endParaRPr>
        </a:p>
        <a:p>
          <a:r>
            <a:rPr lang="en-AU" sz="1100" i="1" baseline="0">
              <a:solidFill>
                <a:schemeClr val="tx1">
                  <a:lumMod val="75000"/>
                  <a:lumOff val="25000"/>
                </a:schemeClr>
              </a:solidFill>
            </a:rPr>
            <a:t>• Guide business continuity and disaster recovery conversations</a:t>
          </a:r>
        </a:p>
        <a:p>
          <a:r>
            <a:rPr lang="en-AU" sz="1100" i="1" baseline="0">
              <a:solidFill>
                <a:schemeClr val="dk1"/>
              </a:solidFill>
              <a:effectLst/>
              <a:latin typeface="+mn-lt"/>
              <a:ea typeface="+mn-ea"/>
              <a:cs typeface="+mn-cs"/>
            </a:rPr>
            <a:t>• </a:t>
          </a:r>
          <a:r>
            <a:rPr lang="en-AU" sz="1100" i="1" baseline="0">
              <a:solidFill>
                <a:schemeClr val="tx1">
                  <a:lumMod val="75000"/>
                  <a:lumOff val="25000"/>
                </a:schemeClr>
              </a:solidFill>
            </a:rPr>
            <a:t>Advocate for resilient applications</a:t>
          </a:r>
        </a:p>
        <a:p>
          <a:r>
            <a:rPr lang="en-AU" sz="1100" i="1" baseline="0">
              <a:solidFill>
                <a:schemeClr val="dk1"/>
              </a:solidFill>
              <a:effectLst/>
              <a:latin typeface="+mn-lt"/>
              <a:ea typeface="+mn-ea"/>
              <a:cs typeface="+mn-cs"/>
            </a:rPr>
            <a:t>• </a:t>
          </a:r>
          <a:r>
            <a:rPr lang="en-AU" sz="1100" i="1" baseline="0">
              <a:solidFill>
                <a:schemeClr val="tx1">
                  <a:lumMod val="75000"/>
                  <a:lumOff val="25000"/>
                </a:schemeClr>
              </a:solidFill>
            </a:rPr>
            <a:t>Reduce the time required to plan and design application architecture</a:t>
          </a:r>
        </a:p>
        <a:p>
          <a:r>
            <a:rPr lang="en-AU" sz="1100" i="1" baseline="0">
              <a:solidFill>
                <a:schemeClr val="dk1"/>
              </a:solidFill>
              <a:effectLst/>
              <a:latin typeface="+mn-lt"/>
              <a:ea typeface="+mn-ea"/>
              <a:cs typeface="+mn-cs"/>
            </a:rPr>
            <a:t>• Improve business alignment to application design</a:t>
          </a:r>
        </a:p>
        <a:p>
          <a:r>
            <a:rPr lang="en-AU" sz="1100" i="1" baseline="0">
              <a:solidFill>
                <a:schemeClr val="dk1"/>
              </a:solidFill>
              <a:effectLst/>
              <a:latin typeface="+mn-lt"/>
              <a:ea typeface="+mn-ea"/>
              <a:cs typeface="+mn-cs"/>
            </a:rPr>
            <a:t>• Improve the definition of business continuity and disaster recovery requirements</a:t>
          </a:r>
        </a:p>
        <a:p>
          <a:r>
            <a:rPr lang="en-AU" sz="1100" i="1" baseline="0">
              <a:solidFill>
                <a:schemeClr val="dk1"/>
              </a:solidFill>
              <a:effectLst/>
              <a:latin typeface="+mn-lt"/>
              <a:ea typeface="+mn-ea"/>
              <a:cs typeface="+mn-cs"/>
            </a:rPr>
            <a:t>• Define an end-to-end business continuity and disaster recovery journey, detailing single application continuity design through to a multi-application business continuity plan</a:t>
          </a:r>
        </a:p>
        <a:p>
          <a:pPr marL="0" marR="0" lvl="0" indent="0" defTabSz="914400" eaLnBrk="1" fontAlgn="auto" latinLnBrk="0" hangingPunct="1">
            <a:lnSpc>
              <a:spcPct val="100000"/>
            </a:lnSpc>
            <a:spcBef>
              <a:spcPts val="0"/>
            </a:spcBef>
            <a:spcAft>
              <a:spcPts val="0"/>
            </a:spcAft>
            <a:buClrTx/>
            <a:buSzTx/>
            <a:buFontTx/>
            <a:buNone/>
            <a:tabLst/>
            <a:defRPr/>
          </a:pPr>
          <a:r>
            <a:rPr lang="en-AU" sz="1100" i="1" baseline="0">
              <a:solidFill>
                <a:schemeClr val="dk1"/>
              </a:solidFill>
              <a:effectLst/>
              <a:latin typeface="+mn-lt"/>
              <a:ea typeface="+mn-ea"/>
              <a:cs typeface="+mn-cs"/>
            </a:rPr>
            <a:t>• Provide step-by-step templates and examples to build a business continuity and disaster recovery framework</a:t>
          </a:r>
          <a:endParaRPr lang="en-AU">
            <a:effectLst/>
          </a:endParaRPr>
        </a:p>
        <a:p>
          <a:endParaRPr lang="en-AU" sz="1100" i="1" baseline="0">
            <a:solidFill>
              <a:schemeClr val="tx1">
                <a:lumMod val="75000"/>
                <a:lumOff val="25000"/>
              </a:schemeClr>
            </a:solidFill>
          </a:endParaRPr>
        </a:p>
      </xdr:txBody>
    </xdr:sp>
    <xdr:clientData/>
  </xdr:twoCellAnchor>
  <xdr:twoCellAnchor editAs="absolute">
    <xdr:from>
      <xdr:col>5</xdr:col>
      <xdr:colOff>383540</xdr:colOff>
      <xdr:row>10</xdr:row>
      <xdr:rowOff>78740</xdr:rowOff>
    </xdr:from>
    <xdr:to>
      <xdr:col>5</xdr:col>
      <xdr:colOff>383540</xdr:colOff>
      <xdr:row>20</xdr:row>
      <xdr:rowOff>152400</xdr:rowOff>
    </xdr:to>
    <xdr:sp macro="" textlink="">
      <xdr:nvSpPr>
        <xdr:cNvPr id="10" name="TextBox 1">
          <a:extLst>
            <a:ext uri="{FF2B5EF4-FFF2-40B4-BE49-F238E27FC236}">
              <a16:creationId xmlns:a16="http://schemas.microsoft.com/office/drawing/2014/main" id="{00000000-0008-0000-0100-00000A000000}"/>
            </a:ext>
          </a:extLst>
        </xdr:cNvPr>
        <xdr:cNvSpPr txBox="1"/>
      </xdr:nvSpPr>
      <xdr:spPr>
        <a:xfrm>
          <a:off x="9779000" y="1930400"/>
          <a:ext cx="5454650" cy="1905000"/>
        </a:xfrm>
        <a:prstGeom prst="rect">
          <a:avLst/>
        </a:prstGeom>
        <a:solidFill>
          <a:schemeClr val="bg1"/>
        </a:solidFill>
        <a:ln w="3175">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ctr"/>
        <a:lstStyle/>
        <a:p>
          <a:pPr algn="l"/>
          <a:r>
            <a:rPr lang="en-AU" sz="1100" b="1" i="0" baseline="0">
              <a:solidFill>
                <a:srgbClr val="F25022"/>
              </a:solidFill>
            </a:rPr>
            <a:t>Scope</a:t>
          </a:r>
        </a:p>
        <a:p>
          <a:pPr algn="l"/>
          <a:endParaRPr lang="en-AU" sz="1100" b="1" i="0" baseline="0">
            <a:solidFill>
              <a:schemeClr val="tx1">
                <a:lumMod val="75000"/>
                <a:lumOff val="25000"/>
              </a:schemeClr>
            </a:solidFill>
          </a:endParaRPr>
        </a:p>
        <a:p>
          <a:pPr algn="l"/>
          <a:r>
            <a:rPr lang="en-AU" sz="1100" i="0" baseline="0">
              <a:solidFill>
                <a:schemeClr val="tx1">
                  <a:lumMod val="75000"/>
                  <a:lumOff val="25000"/>
                </a:schemeClr>
              </a:solidFill>
              <a:latin typeface="+mn-lt"/>
              <a:ea typeface="+mn-ea"/>
              <a:cs typeface="+mn-cs"/>
            </a:rPr>
            <a:t>• TBD</a:t>
          </a:r>
        </a:p>
        <a:p>
          <a:pPr marL="0" marR="0" lvl="0" indent="0" algn="l" defTabSz="914400" eaLnBrk="1" fontAlgn="auto" latinLnBrk="0" hangingPunct="1">
            <a:lnSpc>
              <a:spcPct val="100000"/>
            </a:lnSpc>
            <a:spcBef>
              <a:spcPts val="0"/>
            </a:spcBef>
            <a:spcAft>
              <a:spcPts val="0"/>
            </a:spcAft>
            <a:buClrTx/>
            <a:buSzTx/>
            <a:buFontTx/>
            <a:buNone/>
            <a:tabLst/>
            <a:defRPr/>
          </a:pPr>
          <a:endParaRPr lang="en-AU" sz="1100" i="0" baseline="0">
            <a:solidFill>
              <a:schemeClr val="tx1">
                <a:lumMod val="75000"/>
                <a:lumOff val="25000"/>
              </a:schemeClr>
            </a:solidFill>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AU" sz="1100" b="1" i="0" baseline="0">
              <a:solidFill>
                <a:srgbClr val="F25022"/>
              </a:solidFill>
              <a:latin typeface="+mn-lt"/>
              <a:ea typeface="+mn-ea"/>
              <a:cs typeface="+mn-cs"/>
            </a:rPr>
            <a:t>Scenarios</a:t>
          </a:r>
        </a:p>
        <a:p>
          <a:pPr marL="0" marR="0" lvl="0" indent="0" algn="l" defTabSz="914400" eaLnBrk="1" fontAlgn="auto" latinLnBrk="0" hangingPunct="1">
            <a:lnSpc>
              <a:spcPct val="100000"/>
            </a:lnSpc>
            <a:spcBef>
              <a:spcPts val="0"/>
            </a:spcBef>
            <a:spcAft>
              <a:spcPts val="0"/>
            </a:spcAft>
            <a:buClrTx/>
            <a:buSzTx/>
            <a:buFontTx/>
            <a:buNone/>
            <a:tabLst/>
            <a:defRPr/>
          </a:pPr>
          <a:endParaRPr lang="en-AU" sz="1100" b="1" i="0" baseline="0">
            <a:solidFill>
              <a:schemeClr val="tx1">
                <a:lumMod val="75000"/>
                <a:lumOff val="25000"/>
              </a:schemeClr>
            </a:solidFill>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AU" sz="1100" i="0" baseline="0">
              <a:solidFill>
                <a:schemeClr val="dk1"/>
              </a:solidFill>
              <a:effectLst/>
              <a:latin typeface="+mn-lt"/>
              <a:ea typeface="+mn-ea"/>
              <a:cs typeface="+mn-cs"/>
            </a:rPr>
            <a:t>• </a:t>
          </a:r>
          <a:r>
            <a:rPr lang="en-AU" sz="1100" i="0" baseline="0">
              <a:solidFill>
                <a:schemeClr val="tx1">
                  <a:lumMod val="75000"/>
                  <a:lumOff val="25000"/>
                </a:schemeClr>
              </a:solidFill>
              <a:latin typeface="+mn-lt"/>
              <a:ea typeface="+mn-ea"/>
              <a:cs typeface="+mn-cs"/>
            </a:rPr>
            <a:t>TBD</a:t>
          </a:r>
        </a:p>
        <a:p>
          <a:pPr marL="0" marR="0" lvl="0" indent="0" algn="l" defTabSz="914400" eaLnBrk="1" fontAlgn="auto" latinLnBrk="0" hangingPunct="1">
            <a:lnSpc>
              <a:spcPct val="100000"/>
            </a:lnSpc>
            <a:spcBef>
              <a:spcPts val="0"/>
            </a:spcBef>
            <a:spcAft>
              <a:spcPts val="0"/>
            </a:spcAft>
            <a:buClrTx/>
            <a:buSzTx/>
            <a:buFontTx/>
            <a:buNone/>
            <a:tabLst/>
            <a:defRPr/>
          </a:pPr>
          <a:r>
            <a:rPr lang="en-AU" sz="1100" i="0" baseline="0">
              <a:solidFill>
                <a:schemeClr val="dk1"/>
              </a:solidFill>
              <a:effectLst/>
              <a:latin typeface="+mn-lt"/>
              <a:ea typeface="+mn-ea"/>
              <a:cs typeface="+mn-cs"/>
            </a:rPr>
            <a:t>• </a:t>
          </a:r>
          <a:r>
            <a:rPr lang="en-AU" sz="1100" i="0" baseline="0">
              <a:solidFill>
                <a:schemeClr val="tx1">
                  <a:lumMod val="75000"/>
                  <a:lumOff val="25000"/>
                </a:schemeClr>
              </a:solidFill>
              <a:latin typeface="+mn-lt"/>
              <a:ea typeface="+mn-ea"/>
              <a:cs typeface="+mn-cs"/>
            </a:rPr>
            <a:t>VM, ExpressRoute, S2S, Firewall, AVD, Storage, Azure SQL, SQL MI, SQL on VM, Cosmos DB</a:t>
          </a:r>
        </a:p>
        <a:p>
          <a:pPr marL="0" marR="0" lvl="0" indent="0" algn="l" defTabSz="914400" eaLnBrk="1" fontAlgn="auto" latinLnBrk="0" hangingPunct="1">
            <a:lnSpc>
              <a:spcPct val="100000"/>
            </a:lnSpc>
            <a:spcBef>
              <a:spcPts val="0"/>
            </a:spcBef>
            <a:spcAft>
              <a:spcPts val="0"/>
            </a:spcAft>
            <a:buClrTx/>
            <a:buSzTx/>
            <a:buFontTx/>
            <a:buNone/>
            <a:tabLst/>
            <a:defRPr/>
          </a:pPr>
          <a:endParaRPr lang="en-AU">
            <a:effectLst/>
          </a:endParaRPr>
        </a:p>
      </xdr:txBody>
    </xdr:sp>
    <xdr:clientData/>
  </xdr:twoCellAnchor>
  <xdr:twoCellAnchor>
    <xdr:from>
      <xdr:col>0</xdr:col>
      <xdr:colOff>23544</xdr:colOff>
      <xdr:row>0</xdr:row>
      <xdr:rowOff>66718</xdr:rowOff>
    </xdr:from>
    <xdr:to>
      <xdr:col>1</xdr:col>
      <xdr:colOff>263807</xdr:colOff>
      <xdr:row>3</xdr:row>
      <xdr:rowOff>163271</xdr:rowOff>
    </xdr:to>
    <xdr:grpSp>
      <xdr:nvGrpSpPr>
        <xdr:cNvPr id="5" name="Group 24">
          <a:extLst>
            <a:ext uri="{FF2B5EF4-FFF2-40B4-BE49-F238E27FC236}">
              <a16:creationId xmlns:a16="http://schemas.microsoft.com/office/drawing/2014/main" id="{2C1A4E74-871C-A98D-CD26-9588A4630268}"/>
            </a:ext>
          </a:extLst>
        </xdr:cNvPr>
        <xdr:cNvGrpSpPr/>
      </xdr:nvGrpSpPr>
      <xdr:grpSpPr>
        <a:xfrm>
          <a:off x="23544" y="66718"/>
          <a:ext cx="630788" cy="639478"/>
          <a:chOff x="8756769" y="4362234"/>
          <a:chExt cx="648000" cy="651646"/>
        </a:xfrm>
      </xdr:grpSpPr>
      <xdr:sp macro="" textlink="">
        <xdr:nvSpPr>
          <xdr:cNvPr id="7" name="Rectangle 13">
            <a:extLst>
              <a:ext uri="{FF2B5EF4-FFF2-40B4-BE49-F238E27FC236}">
                <a16:creationId xmlns:a16="http://schemas.microsoft.com/office/drawing/2014/main" id="{651A5327-1232-C1C1-8288-F2E1C956D145}"/>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8" name="Oval 16">
            <a:hlinkClick xmlns:r="http://schemas.openxmlformats.org/officeDocument/2006/relationships" r:id="rId2"/>
            <a:extLst>
              <a:ext uri="{FF2B5EF4-FFF2-40B4-BE49-F238E27FC236}">
                <a16:creationId xmlns:a16="http://schemas.microsoft.com/office/drawing/2014/main" id="{125DED46-9334-AFCA-908D-F233B3F1B735}"/>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1" name="Oval 17">
            <a:hlinkClick xmlns:r="http://schemas.openxmlformats.org/officeDocument/2006/relationships" r:id="rId3"/>
            <a:extLst>
              <a:ext uri="{FF2B5EF4-FFF2-40B4-BE49-F238E27FC236}">
                <a16:creationId xmlns:a16="http://schemas.microsoft.com/office/drawing/2014/main" id="{B75D2BAE-9EDD-B8B4-3C8A-047B92B72EAE}"/>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2" name="Graphic 20" descr="Home with solid fill">
            <a:hlinkClick xmlns:r="http://schemas.openxmlformats.org/officeDocument/2006/relationships" r:id="rId4"/>
            <a:extLst>
              <a:ext uri="{FF2B5EF4-FFF2-40B4-BE49-F238E27FC236}">
                <a16:creationId xmlns:a16="http://schemas.microsoft.com/office/drawing/2014/main" id="{50334104-27A7-5431-B8EC-376E9295A5B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3" name="Graphic 21" descr="User outline">
            <a:hlinkClick xmlns:r="http://schemas.openxmlformats.org/officeDocument/2006/relationships" r:id="rId7"/>
            <a:extLst>
              <a:ext uri="{FF2B5EF4-FFF2-40B4-BE49-F238E27FC236}">
                <a16:creationId xmlns:a16="http://schemas.microsoft.com/office/drawing/2014/main" id="{44C9D234-60E1-0F12-D120-3BD3AB3A7B6B}"/>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0.xml><?xml version="1.0" encoding="utf-8"?>
<xdr:wsDr xmlns:xdr="http://schemas.openxmlformats.org/drawingml/2006/spreadsheetDrawing" xmlns:a="http://schemas.openxmlformats.org/drawingml/2006/main">
  <xdr:twoCellAnchor editAs="absolute">
    <xdr:from>
      <xdr:col>5</xdr:col>
      <xdr:colOff>394818</xdr:colOff>
      <xdr:row>4</xdr:row>
      <xdr:rowOff>3212</xdr:rowOff>
    </xdr:from>
    <xdr:to>
      <xdr:col>12</xdr:col>
      <xdr:colOff>167639</xdr:colOff>
      <xdr:row>9</xdr:row>
      <xdr:rowOff>79337</xdr:rowOff>
    </xdr:to>
    <xdr:graphicFrame macro="">
      <xdr:nvGraphicFramePr>
        <xdr:cNvPr id="4" name="Diagram 3">
          <a:extLst>
            <a:ext uri="{FF2B5EF4-FFF2-40B4-BE49-F238E27FC236}">
              <a16:creationId xmlns:a16="http://schemas.microsoft.com/office/drawing/2014/main" id="{00000000-0008-0000-0600-000004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0</xdr:col>
      <xdr:colOff>76200</xdr:colOff>
      <xdr:row>0</xdr:row>
      <xdr:rowOff>76200</xdr:rowOff>
    </xdr:from>
    <xdr:to>
      <xdr:col>1</xdr:col>
      <xdr:colOff>316463</xdr:colOff>
      <xdr:row>3</xdr:row>
      <xdr:rowOff>7653</xdr:rowOff>
    </xdr:to>
    <xdr:grpSp>
      <xdr:nvGrpSpPr>
        <xdr:cNvPr id="15" name="Group 4">
          <a:extLst>
            <a:ext uri="{FF2B5EF4-FFF2-40B4-BE49-F238E27FC236}">
              <a16:creationId xmlns:a16="http://schemas.microsoft.com/office/drawing/2014/main" id="{5399038A-3EF4-4594-B9CA-8F852C331A72}"/>
            </a:ext>
          </a:extLst>
        </xdr:cNvPr>
        <xdr:cNvGrpSpPr/>
      </xdr:nvGrpSpPr>
      <xdr:grpSpPr>
        <a:xfrm>
          <a:off x="76200" y="76200"/>
          <a:ext cx="630788" cy="645828"/>
          <a:chOff x="8756769" y="4362234"/>
          <a:chExt cx="648000" cy="651646"/>
        </a:xfrm>
      </xdr:grpSpPr>
      <xdr:sp macro="" textlink="">
        <xdr:nvSpPr>
          <xdr:cNvPr id="16" name="Rectangle 6">
            <a:extLst>
              <a:ext uri="{FF2B5EF4-FFF2-40B4-BE49-F238E27FC236}">
                <a16:creationId xmlns:a16="http://schemas.microsoft.com/office/drawing/2014/main" id="{BE595A69-586C-4E74-F1CA-ED1E05221BD3}"/>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7" name="Oval 10">
            <a:hlinkClick xmlns:r="http://schemas.openxmlformats.org/officeDocument/2006/relationships" r:id="rId6"/>
            <a:extLst>
              <a:ext uri="{FF2B5EF4-FFF2-40B4-BE49-F238E27FC236}">
                <a16:creationId xmlns:a16="http://schemas.microsoft.com/office/drawing/2014/main" id="{C2DC37EB-9142-7756-2838-E8AA8DF3842C}"/>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8" name="Oval 11">
            <a:hlinkClick xmlns:r="http://schemas.openxmlformats.org/officeDocument/2006/relationships" r:id="rId7"/>
            <a:extLst>
              <a:ext uri="{FF2B5EF4-FFF2-40B4-BE49-F238E27FC236}">
                <a16:creationId xmlns:a16="http://schemas.microsoft.com/office/drawing/2014/main" id="{6CD98031-E983-B1E5-3D6D-65AB51448D33}"/>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9" name="Graphic 12" descr="Home with solid fill">
            <a:hlinkClick xmlns:r="http://schemas.openxmlformats.org/officeDocument/2006/relationships" r:id="rId8"/>
            <a:extLst>
              <a:ext uri="{FF2B5EF4-FFF2-40B4-BE49-F238E27FC236}">
                <a16:creationId xmlns:a16="http://schemas.microsoft.com/office/drawing/2014/main" id="{4C360BB8-E572-C589-7781-9385412BFA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20" name="Graphic 13" descr="User outline">
            <a:hlinkClick xmlns:r="http://schemas.openxmlformats.org/officeDocument/2006/relationships" r:id="rId11"/>
            <a:extLst>
              <a:ext uri="{FF2B5EF4-FFF2-40B4-BE49-F238E27FC236}">
                <a16:creationId xmlns:a16="http://schemas.microsoft.com/office/drawing/2014/main" id="{A27982F4-F45A-D497-4427-64C7DD67212B}"/>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1.xml><?xml version="1.0" encoding="utf-8"?>
<xdr:wsDr xmlns:xdr="http://schemas.openxmlformats.org/drawingml/2006/spreadsheetDrawing" xmlns:a="http://schemas.openxmlformats.org/drawingml/2006/main">
  <xdr:twoCellAnchor editAs="absolute">
    <xdr:from>
      <xdr:col>4</xdr:col>
      <xdr:colOff>722188</xdr:colOff>
      <xdr:row>4</xdr:row>
      <xdr:rowOff>117676</xdr:rowOff>
    </xdr:from>
    <xdr:to>
      <xdr:col>12</xdr:col>
      <xdr:colOff>3541588</xdr:colOff>
      <xdr:row>9</xdr:row>
      <xdr:rowOff>154956</xdr:rowOff>
    </xdr:to>
    <mc:AlternateContent xmlns:mc="http://schemas.openxmlformats.org/markup-compatibility/2006" xmlns:sle15="http://schemas.microsoft.com/office/drawing/2012/slicer">
      <mc:Choice Requires="sle15">
        <xdr:graphicFrame macro="">
          <xdr:nvGraphicFramePr>
            <xdr:cNvPr id="4" name="Topic 1">
              <a:extLst>
                <a:ext uri="{FF2B5EF4-FFF2-40B4-BE49-F238E27FC236}">
                  <a16:creationId xmlns:a16="http://schemas.microsoft.com/office/drawing/2014/main" id="{00000000-0008-0000-0800-000004000000}"/>
                </a:ext>
              </a:extLst>
            </xdr:cNvPr>
            <xdr:cNvGraphicFramePr/>
          </xdr:nvGraphicFramePr>
          <xdr:xfrm>
            <a:off x="0" y="0"/>
            <a:ext cx="0" cy="0"/>
          </xdr:xfrm>
          <a:graphic>
            <a:graphicData uri="http://schemas.microsoft.com/office/drawing/2010/slicer">
              <sle:slicer xmlns:sle="http://schemas.microsoft.com/office/drawing/2010/slicer" name="Topic 1"/>
            </a:graphicData>
          </a:graphic>
        </xdr:graphicFrame>
      </mc:Choice>
      <mc:Fallback xmlns="">
        <xdr:sp macro="" textlink="">
          <xdr:nvSpPr>
            <xdr:cNvPr id="0" name=""/>
            <xdr:cNvSpPr>
              <a:spLocks noTextEdit="1"/>
            </xdr:cNvSpPr>
          </xdr:nvSpPr>
          <xdr:spPr>
            <a:xfrm>
              <a:off x="2707640" y="936826"/>
              <a:ext cx="17748250" cy="966920"/>
            </a:xfrm>
            <a:prstGeom prst="rect">
              <a:avLst/>
            </a:prstGeom>
            <a:solidFill>
              <a:prstClr val="white"/>
            </a:solidFill>
            <a:ln w="1">
              <a:solidFill>
                <a:prstClr val="green"/>
              </a:solidFill>
            </a:ln>
          </xdr:spPr>
          <xdr:txBody>
            <a:bodyPr vertOverflow="clip" horzOverflow="clip"/>
            <a:lstStyle/>
            <a:p>
              <a:r>
                <a:rPr lang="en-AU"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0</xdr:col>
      <xdr:colOff>107950</xdr:colOff>
      <xdr:row>0</xdr:row>
      <xdr:rowOff>63500</xdr:rowOff>
    </xdr:from>
    <xdr:to>
      <xdr:col>1</xdr:col>
      <xdr:colOff>348213</xdr:colOff>
      <xdr:row>3</xdr:row>
      <xdr:rowOff>83853</xdr:rowOff>
    </xdr:to>
    <xdr:grpSp>
      <xdr:nvGrpSpPr>
        <xdr:cNvPr id="13" name="Group 1">
          <a:extLst>
            <a:ext uri="{FF2B5EF4-FFF2-40B4-BE49-F238E27FC236}">
              <a16:creationId xmlns:a16="http://schemas.microsoft.com/office/drawing/2014/main" id="{D3CE879C-F5FE-41F6-9536-52EF9F2E89A1}"/>
            </a:ext>
          </a:extLst>
        </xdr:cNvPr>
        <xdr:cNvGrpSpPr/>
      </xdr:nvGrpSpPr>
      <xdr:grpSpPr>
        <a:xfrm>
          <a:off x="107950" y="63500"/>
          <a:ext cx="630788" cy="649003"/>
          <a:chOff x="8756769" y="4362234"/>
          <a:chExt cx="648000" cy="651646"/>
        </a:xfrm>
      </xdr:grpSpPr>
      <xdr:sp macro="" textlink="">
        <xdr:nvSpPr>
          <xdr:cNvPr id="14" name="Rectangle 2">
            <a:extLst>
              <a:ext uri="{FF2B5EF4-FFF2-40B4-BE49-F238E27FC236}">
                <a16:creationId xmlns:a16="http://schemas.microsoft.com/office/drawing/2014/main" id="{883C63BB-C3E0-6FD0-47F9-889F36D0C89E}"/>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4">
            <a:hlinkClick xmlns:r="http://schemas.openxmlformats.org/officeDocument/2006/relationships" r:id="rId1"/>
            <a:extLst>
              <a:ext uri="{FF2B5EF4-FFF2-40B4-BE49-F238E27FC236}">
                <a16:creationId xmlns:a16="http://schemas.microsoft.com/office/drawing/2014/main" id="{14CB3E19-7938-26AB-5C3E-C0F8407C7135}"/>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2"/>
            <a:extLst>
              <a:ext uri="{FF2B5EF4-FFF2-40B4-BE49-F238E27FC236}">
                <a16:creationId xmlns:a16="http://schemas.microsoft.com/office/drawing/2014/main" id="{939B519B-95FF-0467-10A3-878B0383498C}"/>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3"/>
            <a:extLst>
              <a:ext uri="{FF2B5EF4-FFF2-40B4-BE49-F238E27FC236}">
                <a16:creationId xmlns:a16="http://schemas.microsoft.com/office/drawing/2014/main" id="{57A3170B-60C8-906F-1AD9-B66DE39F068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6"/>
            <a:extLst>
              <a:ext uri="{FF2B5EF4-FFF2-40B4-BE49-F238E27FC236}">
                <a16:creationId xmlns:a16="http://schemas.microsoft.com/office/drawing/2014/main" id="{2DADFB13-1779-3397-5F7A-1E114B16A67A}"/>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69850</xdr:colOff>
      <xdr:row>0</xdr:row>
      <xdr:rowOff>38100</xdr:rowOff>
    </xdr:from>
    <xdr:to>
      <xdr:col>1</xdr:col>
      <xdr:colOff>310113</xdr:colOff>
      <xdr:row>3</xdr:row>
      <xdr:rowOff>58453</xdr:rowOff>
    </xdr:to>
    <xdr:grpSp>
      <xdr:nvGrpSpPr>
        <xdr:cNvPr id="12" name="Group 4">
          <a:extLst>
            <a:ext uri="{FF2B5EF4-FFF2-40B4-BE49-F238E27FC236}">
              <a16:creationId xmlns:a16="http://schemas.microsoft.com/office/drawing/2014/main" id="{5A0BDBB0-BA40-4FC9-B061-0FDC984B917B}"/>
            </a:ext>
          </a:extLst>
        </xdr:cNvPr>
        <xdr:cNvGrpSpPr/>
      </xdr:nvGrpSpPr>
      <xdr:grpSpPr>
        <a:xfrm>
          <a:off x="69850" y="38100"/>
          <a:ext cx="630788" cy="649003"/>
          <a:chOff x="8756769" y="4362234"/>
          <a:chExt cx="648000" cy="651646"/>
        </a:xfrm>
      </xdr:grpSpPr>
      <xdr:sp macro="" textlink="">
        <xdr:nvSpPr>
          <xdr:cNvPr id="13" name="Rectangle 5">
            <a:extLst>
              <a:ext uri="{FF2B5EF4-FFF2-40B4-BE49-F238E27FC236}">
                <a16:creationId xmlns:a16="http://schemas.microsoft.com/office/drawing/2014/main" id="{E78E0C3C-BBCF-C8B5-3541-C283C137140E}"/>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4" name="Oval 7">
            <a:hlinkClick xmlns:r="http://schemas.openxmlformats.org/officeDocument/2006/relationships" r:id="rId1"/>
            <a:extLst>
              <a:ext uri="{FF2B5EF4-FFF2-40B4-BE49-F238E27FC236}">
                <a16:creationId xmlns:a16="http://schemas.microsoft.com/office/drawing/2014/main" id="{89B56EA5-9A26-0337-9212-04F7ABFA5F52}"/>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1AF55D68-D5E5-52E2-3928-FB4A8EBBF8A9}"/>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6" name="Graphic 9" descr="Home with solid fill">
            <a:hlinkClick xmlns:r="http://schemas.openxmlformats.org/officeDocument/2006/relationships" r:id="rId3"/>
            <a:extLst>
              <a:ext uri="{FF2B5EF4-FFF2-40B4-BE49-F238E27FC236}">
                <a16:creationId xmlns:a16="http://schemas.microsoft.com/office/drawing/2014/main" id="{3FAEA25C-918C-A7CF-F807-6A0C774BA77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7" name="Graphic 10" descr="User outline">
            <a:hlinkClick xmlns:r="http://schemas.openxmlformats.org/officeDocument/2006/relationships" r:id="rId6"/>
            <a:extLst>
              <a:ext uri="{FF2B5EF4-FFF2-40B4-BE49-F238E27FC236}">
                <a16:creationId xmlns:a16="http://schemas.microsoft.com/office/drawing/2014/main" id="{BE40ECEF-8DE9-3AB0-5DB8-86E2BCDE6BAF}"/>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3.xml><?xml version="1.0" encoding="utf-8"?>
<xdr:wsDr xmlns:xdr="http://schemas.openxmlformats.org/drawingml/2006/spreadsheetDrawing" xmlns:a="http://schemas.openxmlformats.org/drawingml/2006/main">
  <xdr:twoCellAnchor editAs="absolute">
    <xdr:from>
      <xdr:col>2</xdr:col>
      <xdr:colOff>194011</xdr:colOff>
      <xdr:row>22</xdr:row>
      <xdr:rowOff>38189</xdr:rowOff>
    </xdr:from>
    <xdr:to>
      <xdr:col>12</xdr:col>
      <xdr:colOff>1108161</xdr:colOff>
      <xdr:row>27</xdr:row>
      <xdr:rowOff>78009</xdr:rowOff>
    </xdr:to>
    <mc:AlternateContent xmlns:mc="http://schemas.openxmlformats.org/markup-compatibility/2006" xmlns:sle15="http://schemas.microsoft.com/office/drawing/2012/slicer">
      <mc:Choice Requires="sle15">
        <xdr:graphicFrame macro="">
          <xdr:nvGraphicFramePr>
            <xdr:cNvPr id="2" name="Topic 2">
              <a:extLst>
                <a:ext uri="{FF2B5EF4-FFF2-40B4-BE49-F238E27FC236}">
                  <a16:creationId xmlns:a16="http://schemas.microsoft.com/office/drawing/2014/main" id="{D9AABB05-09CB-45A1-88DB-3AF80F53B337}"/>
                </a:ext>
              </a:extLst>
            </xdr:cNvPr>
            <xdr:cNvGraphicFramePr/>
          </xdr:nvGraphicFramePr>
          <xdr:xfrm>
            <a:off x="0" y="0"/>
            <a:ext cx="0" cy="0"/>
          </xdr:xfrm>
          <a:graphic>
            <a:graphicData uri="http://schemas.microsoft.com/office/drawing/2010/slicer">
              <sle:slicer xmlns:sle="http://schemas.microsoft.com/office/drawing/2010/slicer" name="Topic 2"/>
            </a:graphicData>
          </a:graphic>
        </xdr:graphicFrame>
      </mc:Choice>
      <mc:Fallback xmlns="">
        <xdr:sp macro="" textlink="">
          <xdr:nvSpPr>
            <xdr:cNvPr id="0" name=""/>
            <xdr:cNvSpPr>
              <a:spLocks noTextEdit="1"/>
            </xdr:cNvSpPr>
          </xdr:nvSpPr>
          <xdr:spPr>
            <a:xfrm>
              <a:off x="997323" y="4229189"/>
              <a:ext cx="17757787" cy="973644"/>
            </a:xfrm>
            <a:prstGeom prst="rect">
              <a:avLst/>
            </a:prstGeom>
            <a:solidFill>
              <a:prstClr val="white"/>
            </a:solidFill>
            <a:ln w="1">
              <a:solidFill>
                <a:prstClr val="green"/>
              </a:solidFill>
            </a:ln>
          </xdr:spPr>
          <xdr:txBody>
            <a:bodyPr vertOverflow="clip" horzOverflow="clip"/>
            <a:lstStyle/>
            <a:p>
              <a:r>
                <a:rPr lang="en-AU"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0</xdr:col>
      <xdr:colOff>59765</xdr:colOff>
      <xdr:row>0</xdr:row>
      <xdr:rowOff>67235</xdr:rowOff>
    </xdr:from>
    <xdr:to>
      <xdr:col>1</xdr:col>
      <xdr:colOff>303016</xdr:colOff>
      <xdr:row>3</xdr:row>
      <xdr:rowOff>81238</xdr:rowOff>
    </xdr:to>
    <xdr:grpSp>
      <xdr:nvGrpSpPr>
        <xdr:cNvPr id="13" name="Group 4">
          <a:extLst>
            <a:ext uri="{FF2B5EF4-FFF2-40B4-BE49-F238E27FC236}">
              <a16:creationId xmlns:a16="http://schemas.microsoft.com/office/drawing/2014/main" id="{7EF66110-2800-461A-9D10-18CA1DFF6843}"/>
            </a:ext>
          </a:extLst>
        </xdr:cNvPr>
        <xdr:cNvGrpSpPr/>
      </xdr:nvGrpSpPr>
      <xdr:grpSpPr>
        <a:xfrm>
          <a:off x="59765" y="67235"/>
          <a:ext cx="633776" cy="642653"/>
          <a:chOff x="8756769" y="4362234"/>
          <a:chExt cx="648000" cy="651646"/>
        </a:xfrm>
      </xdr:grpSpPr>
      <xdr:sp macro="" textlink="">
        <xdr:nvSpPr>
          <xdr:cNvPr id="14" name="Rectangle 6">
            <a:extLst>
              <a:ext uri="{FF2B5EF4-FFF2-40B4-BE49-F238E27FC236}">
                <a16:creationId xmlns:a16="http://schemas.microsoft.com/office/drawing/2014/main" id="{002BF844-85E7-32F8-EC52-A8A66FCE0769}"/>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8">
            <a:hlinkClick xmlns:r="http://schemas.openxmlformats.org/officeDocument/2006/relationships" r:id="rId1"/>
            <a:extLst>
              <a:ext uri="{FF2B5EF4-FFF2-40B4-BE49-F238E27FC236}">
                <a16:creationId xmlns:a16="http://schemas.microsoft.com/office/drawing/2014/main" id="{7100CD1D-0199-86F2-3E62-FDA469FC5880}"/>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2"/>
            <a:extLst>
              <a:ext uri="{FF2B5EF4-FFF2-40B4-BE49-F238E27FC236}">
                <a16:creationId xmlns:a16="http://schemas.microsoft.com/office/drawing/2014/main" id="{624E9BA0-59F9-FCDB-F351-AE691E9DDA96}"/>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3"/>
            <a:extLst>
              <a:ext uri="{FF2B5EF4-FFF2-40B4-BE49-F238E27FC236}">
                <a16:creationId xmlns:a16="http://schemas.microsoft.com/office/drawing/2014/main" id="{CC9EF623-2AC7-CF47-4818-B50303BC7C2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6"/>
            <a:extLst>
              <a:ext uri="{FF2B5EF4-FFF2-40B4-BE49-F238E27FC236}">
                <a16:creationId xmlns:a16="http://schemas.microsoft.com/office/drawing/2014/main" id="{5C634506-3230-9D70-CDD3-6A9E5525FE15}"/>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4.xml><?xml version="1.0" encoding="utf-8"?>
<xdr:wsDr xmlns:xdr="http://schemas.openxmlformats.org/drawingml/2006/spreadsheetDrawing" xmlns:a="http://schemas.openxmlformats.org/drawingml/2006/main">
  <xdr:twoCellAnchor editAs="oneCell">
    <xdr:from>
      <xdr:col>6</xdr:col>
      <xdr:colOff>6604000</xdr:colOff>
      <xdr:row>4</xdr:row>
      <xdr:rowOff>88900</xdr:rowOff>
    </xdr:from>
    <xdr:to>
      <xdr:col>7</xdr:col>
      <xdr:colOff>110492</xdr:colOff>
      <xdr:row>12</xdr:row>
      <xdr:rowOff>112399</xdr:rowOff>
    </xdr:to>
    <xdr:pic>
      <xdr:nvPicPr>
        <xdr:cNvPr id="2" name="Picture 1">
          <a:extLst>
            <a:ext uri="{FF2B5EF4-FFF2-40B4-BE49-F238E27FC236}">
              <a16:creationId xmlns:a16="http://schemas.microsoft.com/office/drawing/2014/main" id="{CA45EFF0-78C4-48CC-B3E7-A11049701450}"/>
            </a:ext>
          </a:extLst>
        </xdr:cNvPr>
        <xdr:cNvPicPr>
          <a:picLocks noChangeAspect="1"/>
        </xdr:cNvPicPr>
      </xdr:nvPicPr>
      <xdr:blipFill>
        <a:blip xmlns:r="http://schemas.openxmlformats.org/officeDocument/2006/relationships" r:embed="rId1"/>
        <a:stretch>
          <a:fillRect/>
        </a:stretch>
      </xdr:blipFill>
      <xdr:spPr>
        <a:xfrm>
          <a:off x="18370550" y="869950"/>
          <a:ext cx="1404621" cy="1496699"/>
        </a:xfrm>
        <a:prstGeom prst="rect">
          <a:avLst/>
        </a:prstGeom>
      </xdr:spPr>
    </xdr:pic>
    <xdr:clientData/>
  </xdr:twoCellAnchor>
  <xdr:twoCellAnchor editAs="oneCell">
    <xdr:from>
      <xdr:col>5</xdr:col>
      <xdr:colOff>308161</xdr:colOff>
      <xdr:row>23</xdr:row>
      <xdr:rowOff>77470</xdr:rowOff>
    </xdr:from>
    <xdr:to>
      <xdr:col>6</xdr:col>
      <xdr:colOff>75004</xdr:colOff>
      <xdr:row>44</xdr:row>
      <xdr:rowOff>110831</xdr:rowOff>
    </xdr:to>
    <xdr:pic>
      <xdr:nvPicPr>
        <xdr:cNvPr id="3" name="Picture 2">
          <a:extLst>
            <a:ext uri="{FF2B5EF4-FFF2-40B4-BE49-F238E27FC236}">
              <a16:creationId xmlns:a16="http://schemas.microsoft.com/office/drawing/2014/main" id="{619B00C4-19A8-439F-9630-820912723F73}"/>
            </a:ext>
          </a:extLst>
        </xdr:cNvPr>
        <xdr:cNvPicPr>
          <a:picLocks noChangeAspect="1"/>
        </xdr:cNvPicPr>
      </xdr:nvPicPr>
      <xdr:blipFill>
        <a:blip xmlns:r="http://schemas.openxmlformats.org/officeDocument/2006/relationships" r:embed="rId2"/>
        <a:stretch>
          <a:fillRect/>
        </a:stretch>
      </xdr:blipFill>
      <xdr:spPr>
        <a:xfrm>
          <a:off x="4295961" y="4357370"/>
          <a:ext cx="4914079" cy="3896701"/>
        </a:xfrm>
        <a:prstGeom prst="rect">
          <a:avLst/>
        </a:prstGeom>
        <a:ln>
          <a:solidFill>
            <a:schemeClr val="bg1">
              <a:lumMod val="95000"/>
            </a:schemeClr>
          </a:solidFill>
        </a:ln>
        <a:effectLst>
          <a:glow rad="101600">
            <a:schemeClr val="bg1">
              <a:lumMod val="95000"/>
              <a:alpha val="60000"/>
            </a:schemeClr>
          </a:glow>
        </a:effectLst>
      </xdr:spPr>
    </xdr:pic>
    <xdr:clientData/>
  </xdr:twoCellAnchor>
  <xdr:twoCellAnchor editAs="oneCell">
    <xdr:from>
      <xdr:col>6</xdr:col>
      <xdr:colOff>209177</xdr:colOff>
      <xdr:row>4</xdr:row>
      <xdr:rowOff>44825</xdr:rowOff>
    </xdr:from>
    <xdr:to>
      <xdr:col>6</xdr:col>
      <xdr:colOff>6006353</xdr:colOff>
      <xdr:row>21</xdr:row>
      <xdr:rowOff>89669</xdr:rowOff>
    </xdr:to>
    <xdr:pic>
      <xdr:nvPicPr>
        <xdr:cNvPr id="4" name="Picture 3">
          <a:extLst>
            <a:ext uri="{FF2B5EF4-FFF2-40B4-BE49-F238E27FC236}">
              <a16:creationId xmlns:a16="http://schemas.microsoft.com/office/drawing/2014/main" id="{7A7AB7A8-A2CC-4BCD-AC8F-7BEC328BF07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831295" y="836707"/>
          <a:ext cx="5797176" cy="3219844"/>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82826</xdr:colOff>
      <xdr:row>0</xdr:row>
      <xdr:rowOff>60739</xdr:rowOff>
    </xdr:from>
    <xdr:to>
      <xdr:col>1</xdr:col>
      <xdr:colOff>320880</xdr:colOff>
      <xdr:row>3</xdr:row>
      <xdr:rowOff>107872</xdr:rowOff>
    </xdr:to>
    <xdr:grpSp>
      <xdr:nvGrpSpPr>
        <xdr:cNvPr id="15" name="Group 8">
          <a:extLst>
            <a:ext uri="{FF2B5EF4-FFF2-40B4-BE49-F238E27FC236}">
              <a16:creationId xmlns:a16="http://schemas.microsoft.com/office/drawing/2014/main" id="{8F03E207-7E9B-47B3-9E02-0B0D7EED9CE9}"/>
            </a:ext>
          </a:extLst>
        </xdr:cNvPr>
        <xdr:cNvGrpSpPr/>
      </xdr:nvGrpSpPr>
      <xdr:grpSpPr>
        <a:xfrm>
          <a:off x="82826" y="60739"/>
          <a:ext cx="628579" cy="637683"/>
          <a:chOff x="8756769" y="4362234"/>
          <a:chExt cx="648000" cy="651646"/>
        </a:xfrm>
      </xdr:grpSpPr>
      <xdr:sp macro="" textlink="">
        <xdr:nvSpPr>
          <xdr:cNvPr id="16" name="Rectangle 9">
            <a:extLst>
              <a:ext uri="{FF2B5EF4-FFF2-40B4-BE49-F238E27FC236}">
                <a16:creationId xmlns:a16="http://schemas.microsoft.com/office/drawing/2014/main" id="{DD2ADD4E-E20A-F1A1-7525-0FD368AE0F84}"/>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7" name="Oval 10">
            <a:hlinkClick xmlns:r="http://schemas.openxmlformats.org/officeDocument/2006/relationships" r:id="rId4"/>
            <a:extLst>
              <a:ext uri="{FF2B5EF4-FFF2-40B4-BE49-F238E27FC236}">
                <a16:creationId xmlns:a16="http://schemas.microsoft.com/office/drawing/2014/main" id="{685E69C3-20EA-8143-DAEB-2641AA4A6BE0}"/>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8" name="Oval 11">
            <a:hlinkClick xmlns:r="http://schemas.openxmlformats.org/officeDocument/2006/relationships" r:id="rId5"/>
            <a:extLst>
              <a:ext uri="{FF2B5EF4-FFF2-40B4-BE49-F238E27FC236}">
                <a16:creationId xmlns:a16="http://schemas.microsoft.com/office/drawing/2014/main" id="{3102910B-0F7B-BB3E-E6B0-E36DB238E3AA}"/>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9" name="Graphic 12" descr="Home with solid fill">
            <a:hlinkClick xmlns:r="http://schemas.openxmlformats.org/officeDocument/2006/relationships" r:id="rId6"/>
            <a:extLst>
              <a:ext uri="{FF2B5EF4-FFF2-40B4-BE49-F238E27FC236}">
                <a16:creationId xmlns:a16="http://schemas.microsoft.com/office/drawing/2014/main" id="{CAD970B6-40B7-82B9-37AC-ECB6B628348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20" name="Graphic 13" descr="User outline">
            <a:hlinkClick xmlns:r="http://schemas.openxmlformats.org/officeDocument/2006/relationships" r:id="rId9"/>
            <a:extLst>
              <a:ext uri="{FF2B5EF4-FFF2-40B4-BE49-F238E27FC236}">
                <a16:creationId xmlns:a16="http://schemas.microsoft.com/office/drawing/2014/main" id="{8F73B677-15B2-6101-A305-3724F8B5B72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5.xml><?xml version="1.0" encoding="utf-8"?>
<xdr:wsDr xmlns:xdr="http://schemas.openxmlformats.org/drawingml/2006/spreadsheetDrawing" xmlns:a="http://schemas.openxmlformats.org/drawingml/2006/main">
  <xdr:twoCellAnchor editAs="oneCell">
    <xdr:from>
      <xdr:col>17</xdr:col>
      <xdr:colOff>254000</xdr:colOff>
      <xdr:row>4</xdr:row>
      <xdr:rowOff>95250</xdr:rowOff>
    </xdr:from>
    <xdr:to>
      <xdr:col>19</xdr:col>
      <xdr:colOff>154717</xdr:colOff>
      <xdr:row>12</xdr:row>
      <xdr:rowOff>111129</xdr:rowOff>
    </xdr:to>
    <xdr:pic>
      <xdr:nvPicPr>
        <xdr:cNvPr id="2" name="Picture 1">
          <a:extLst>
            <a:ext uri="{FF2B5EF4-FFF2-40B4-BE49-F238E27FC236}">
              <a16:creationId xmlns:a16="http://schemas.microsoft.com/office/drawing/2014/main" id="{CE59ABF9-162C-4842-8A35-4124053604E8}"/>
            </a:ext>
          </a:extLst>
        </xdr:cNvPr>
        <xdr:cNvPicPr>
          <a:picLocks noChangeAspect="1"/>
        </xdr:cNvPicPr>
      </xdr:nvPicPr>
      <xdr:blipFill>
        <a:blip xmlns:r="http://schemas.openxmlformats.org/officeDocument/2006/relationships" r:embed="rId1"/>
        <a:stretch>
          <a:fillRect/>
        </a:stretch>
      </xdr:blipFill>
      <xdr:spPr>
        <a:xfrm>
          <a:off x="16471900" y="914400"/>
          <a:ext cx="1399316" cy="148907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67235</xdr:colOff>
      <xdr:row>0</xdr:row>
      <xdr:rowOff>74706</xdr:rowOff>
    </xdr:from>
    <xdr:to>
      <xdr:col>1</xdr:col>
      <xdr:colOff>310486</xdr:colOff>
      <xdr:row>3</xdr:row>
      <xdr:rowOff>88709</xdr:rowOff>
    </xdr:to>
    <xdr:grpSp>
      <xdr:nvGrpSpPr>
        <xdr:cNvPr id="13" name="Group 2">
          <a:extLst>
            <a:ext uri="{FF2B5EF4-FFF2-40B4-BE49-F238E27FC236}">
              <a16:creationId xmlns:a16="http://schemas.microsoft.com/office/drawing/2014/main" id="{8D4CEFA8-6259-4968-8340-04BA8976DE42}"/>
            </a:ext>
          </a:extLst>
        </xdr:cNvPr>
        <xdr:cNvGrpSpPr/>
      </xdr:nvGrpSpPr>
      <xdr:grpSpPr>
        <a:xfrm>
          <a:off x="67235" y="74706"/>
          <a:ext cx="633776" cy="642653"/>
          <a:chOff x="8756769" y="4362234"/>
          <a:chExt cx="648000" cy="651646"/>
        </a:xfrm>
      </xdr:grpSpPr>
      <xdr:sp macro="" textlink="">
        <xdr:nvSpPr>
          <xdr:cNvPr id="14" name="Rectangle 7">
            <a:extLst>
              <a:ext uri="{FF2B5EF4-FFF2-40B4-BE49-F238E27FC236}">
                <a16:creationId xmlns:a16="http://schemas.microsoft.com/office/drawing/2014/main" id="{8622E494-1B8F-120E-EFE2-E378C6867690}"/>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8E76F12A-3154-7F31-1D04-F80358D1B4D3}"/>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3"/>
            <a:extLst>
              <a:ext uri="{FF2B5EF4-FFF2-40B4-BE49-F238E27FC236}">
                <a16:creationId xmlns:a16="http://schemas.microsoft.com/office/drawing/2014/main" id="{F3C3D26E-0C7F-92DB-E59B-C558C1AD0F57}"/>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4"/>
            <a:extLst>
              <a:ext uri="{FF2B5EF4-FFF2-40B4-BE49-F238E27FC236}">
                <a16:creationId xmlns:a16="http://schemas.microsoft.com/office/drawing/2014/main" id="{C0C92495-7429-214C-CED5-27EBB38B461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7"/>
            <a:extLst>
              <a:ext uri="{FF2B5EF4-FFF2-40B4-BE49-F238E27FC236}">
                <a16:creationId xmlns:a16="http://schemas.microsoft.com/office/drawing/2014/main" id="{1742AFCD-64DF-5DE3-CB92-21B30510B11F}"/>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0</xdr:colOff>
      <xdr:row>29</xdr:row>
      <xdr:rowOff>0</xdr:rowOff>
    </xdr:from>
    <xdr:to>
      <xdr:col>4</xdr:col>
      <xdr:colOff>304800</xdr:colOff>
      <xdr:row>30</xdr:row>
      <xdr:rowOff>116840</xdr:rowOff>
    </xdr:to>
    <xdr:sp macro="" textlink="">
      <xdr:nvSpPr>
        <xdr:cNvPr id="2" name="AutoShape 8" descr="Diagram showing the reference architecture for a web application with high availability.">
          <a:extLst>
            <a:ext uri="{FF2B5EF4-FFF2-40B4-BE49-F238E27FC236}">
              <a16:creationId xmlns:a16="http://schemas.microsoft.com/office/drawing/2014/main" id="{00000000-0008-0000-1100-000002000000}"/>
            </a:ext>
          </a:extLst>
        </xdr:cNvPr>
        <xdr:cNvSpPr>
          <a:spLocks noChangeAspect="1" noChangeArrowheads="1"/>
        </xdr:cNvSpPr>
      </xdr:nvSpPr>
      <xdr:spPr bwMode="auto">
        <a:xfrm>
          <a:off x="3486150" y="1365250"/>
          <a:ext cx="304800" cy="30099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27</xdr:row>
      <xdr:rowOff>0</xdr:rowOff>
    </xdr:from>
    <xdr:to>
      <xdr:col>6</xdr:col>
      <xdr:colOff>2254884</xdr:colOff>
      <xdr:row>74</xdr:row>
      <xdr:rowOff>3190</xdr:rowOff>
    </xdr:to>
    <xdr:pic>
      <xdr:nvPicPr>
        <xdr:cNvPr id="20" name="Picture 19">
          <a:extLst>
            <a:ext uri="{FF2B5EF4-FFF2-40B4-BE49-F238E27FC236}">
              <a16:creationId xmlns:a16="http://schemas.microsoft.com/office/drawing/2014/main" id="{B8768855-ED61-3DDC-3D26-579D6E1F17C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0350" y="1181100"/>
          <a:ext cx="15322550" cy="865824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xdr:col>
      <xdr:colOff>190500</xdr:colOff>
      <xdr:row>28</xdr:row>
      <xdr:rowOff>43180</xdr:rowOff>
    </xdr:from>
    <xdr:to>
      <xdr:col>4</xdr:col>
      <xdr:colOff>4113530</xdr:colOff>
      <xdr:row>32</xdr:row>
      <xdr:rowOff>114300</xdr:rowOff>
    </xdr:to>
    <xdr:sp macro="" textlink="">
      <xdr:nvSpPr>
        <xdr:cNvPr id="21" name="TextBox 20">
          <a:extLst>
            <a:ext uri="{FF2B5EF4-FFF2-40B4-BE49-F238E27FC236}">
              <a16:creationId xmlns:a16="http://schemas.microsoft.com/office/drawing/2014/main" id="{D7CBC5C5-5029-457E-B19C-67E10CD825CC}"/>
            </a:ext>
          </a:extLst>
        </xdr:cNvPr>
        <xdr:cNvSpPr txBox="1"/>
      </xdr:nvSpPr>
      <xdr:spPr>
        <a:xfrm>
          <a:off x="450850" y="5142230"/>
          <a:ext cx="7447280" cy="807720"/>
        </a:xfrm>
        <a:prstGeom prst="round2DiagRect">
          <a:avLst/>
        </a:prstGeom>
        <a:solidFill>
          <a:schemeClr val="bg1"/>
        </a:solidFill>
        <a:ln w="3175" cmpd="sng">
          <a:solidFill>
            <a:schemeClr val="bg1">
              <a:lumMod val="95000"/>
            </a:schemeClr>
          </a:solidFill>
        </a:ln>
        <a:effectLst>
          <a:glow rad="101600">
            <a:schemeClr val="bg1">
              <a:lumMod val="95000"/>
              <a:alpha val="60000"/>
            </a:scheme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AU" sz="1100" i="1">
              <a:solidFill>
                <a:schemeClr val="dk1"/>
              </a:solidFill>
              <a:latin typeface="+mn-lt"/>
              <a:ea typeface="+mn-ea"/>
              <a:cs typeface="+mn-cs"/>
            </a:rPr>
            <a:t>In this illustration, an internal server error occurs, this is one of three defined errors that may lead to a complete failure for the App Service Instance, leading to an App Service Plan failure. The App Service Plan is one of eight defined services that, if any fail, would lead to the Mars Travel Bookings web application failing. </a:t>
          </a:r>
        </a:p>
        <a:p>
          <a:pPr marL="0" indent="0"/>
          <a:endParaRPr lang="en-AU" sz="1100" i="1">
            <a:solidFill>
              <a:schemeClr val="dk1"/>
            </a:solidFill>
            <a:latin typeface="+mn-lt"/>
            <a:ea typeface="+mn-ea"/>
            <a:cs typeface="+mn-cs"/>
          </a:endParaRPr>
        </a:p>
        <a:p>
          <a:pPr marL="0" indent="0"/>
          <a:r>
            <a:rPr lang="en-AU" sz="1100" i="1">
              <a:solidFill>
                <a:schemeClr val="dk1"/>
              </a:solidFill>
              <a:latin typeface="+mn-lt"/>
              <a:ea typeface="+mn-ea"/>
              <a:cs typeface="+mn-cs"/>
            </a:rPr>
            <a:t>The failure means that the application is not available and travel bookings are not possible.</a:t>
          </a:r>
        </a:p>
      </xdr:txBody>
    </xdr:sp>
    <xdr:clientData/>
  </xdr:twoCellAnchor>
  <xdr:twoCellAnchor editAs="oneCell">
    <xdr:from>
      <xdr:col>6</xdr:col>
      <xdr:colOff>800100</xdr:colOff>
      <xdr:row>4</xdr:row>
      <xdr:rowOff>50800</xdr:rowOff>
    </xdr:from>
    <xdr:to>
      <xdr:col>6</xdr:col>
      <xdr:colOff>2207036</xdr:colOff>
      <xdr:row>12</xdr:row>
      <xdr:rowOff>73029</xdr:rowOff>
    </xdr:to>
    <xdr:pic>
      <xdr:nvPicPr>
        <xdr:cNvPr id="5" name="Picture 4">
          <a:extLst>
            <a:ext uri="{FF2B5EF4-FFF2-40B4-BE49-F238E27FC236}">
              <a16:creationId xmlns:a16="http://schemas.microsoft.com/office/drawing/2014/main" id="{D0B8333C-F1DC-49F2-8CD8-BBC08EB3B1A8}"/>
            </a:ext>
          </a:extLst>
        </xdr:cNvPr>
        <xdr:cNvPicPr>
          <a:picLocks noChangeAspect="1"/>
        </xdr:cNvPicPr>
      </xdr:nvPicPr>
      <xdr:blipFill>
        <a:blip xmlns:r="http://schemas.openxmlformats.org/officeDocument/2006/relationships" r:embed="rId2"/>
        <a:stretch>
          <a:fillRect/>
        </a:stretch>
      </xdr:blipFill>
      <xdr:spPr>
        <a:xfrm>
          <a:off x="14065250" y="857250"/>
          <a:ext cx="1400586" cy="149288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76200</xdr:colOff>
      <xdr:row>0</xdr:row>
      <xdr:rowOff>76200</xdr:rowOff>
    </xdr:from>
    <xdr:to>
      <xdr:col>1</xdr:col>
      <xdr:colOff>316463</xdr:colOff>
      <xdr:row>3</xdr:row>
      <xdr:rowOff>102903</xdr:rowOff>
    </xdr:to>
    <xdr:grpSp>
      <xdr:nvGrpSpPr>
        <xdr:cNvPr id="14" name="Group 2">
          <a:extLst>
            <a:ext uri="{FF2B5EF4-FFF2-40B4-BE49-F238E27FC236}">
              <a16:creationId xmlns:a16="http://schemas.microsoft.com/office/drawing/2014/main" id="{9EBC06D8-9B64-4BB2-9D3B-B866F344AD7E}"/>
            </a:ext>
          </a:extLst>
        </xdr:cNvPr>
        <xdr:cNvGrpSpPr/>
      </xdr:nvGrpSpPr>
      <xdr:grpSpPr>
        <a:xfrm>
          <a:off x="76200" y="76200"/>
          <a:ext cx="630788" cy="645828"/>
          <a:chOff x="8756769" y="4362234"/>
          <a:chExt cx="648000" cy="651646"/>
        </a:xfrm>
      </xdr:grpSpPr>
      <xdr:sp macro="" textlink="">
        <xdr:nvSpPr>
          <xdr:cNvPr id="15" name="Rectangle 8">
            <a:extLst>
              <a:ext uri="{FF2B5EF4-FFF2-40B4-BE49-F238E27FC236}">
                <a16:creationId xmlns:a16="http://schemas.microsoft.com/office/drawing/2014/main" id="{0767EE91-7800-4D25-BB67-B38D8AEA1D41}"/>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6" name="Oval 9">
            <a:hlinkClick xmlns:r="http://schemas.openxmlformats.org/officeDocument/2006/relationships" r:id="rId3"/>
            <a:extLst>
              <a:ext uri="{FF2B5EF4-FFF2-40B4-BE49-F238E27FC236}">
                <a16:creationId xmlns:a16="http://schemas.microsoft.com/office/drawing/2014/main" id="{2EA867C5-FE7E-19BA-2E72-2284D1399C7A}"/>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7" name="Oval 10">
            <a:hlinkClick xmlns:r="http://schemas.openxmlformats.org/officeDocument/2006/relationships" r:id="rId4"/>
            <a:extLst>
              <a:ext uri="{FF2B5EF4-FFF2-40B4-BE49-F238E27FC236}">
                <a16:creationId xmlns:a16="http://schemas.microsoft.com/office/drawing/2014/main" id="{BCCC7AB6-3D5C-E184-F5A9-1D2CD242032D}"/>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8" name="Graphic 11" descr="Home with solid fill">
            <a:hlinkClick xmlns:r="http://schemas.openxmlformats.org/officeDocument/2006/relationships" r:id="rId5"/>
            <a:extLst>
              <a:ext uri="{FF2B5EF4-FFF2-40B4-BE49-F238E27FC236}">
                <a16:creationId xmlns:a16="http://schemas.microsoft.com/office/drawing/2014/main" id="{2F958345-FED0-D5C7-CC87-B4EE623BED5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9" name="Graphic 12" descr="User outline">
            <a:hlinkClick xmlns:r="http://schemas.openxmlformats.org/officeDocument/2006/relationships" r:id="rId8"/>
            <a:extLst>
              <a:ext uri="{FF2B5EF4-FFF2-40B4-BE49-F238E27FC236}">
                <a16:creationId xmlns:a16="http://schemas.microsoft.com/office/drawing/2014/main" id="{56E6E067-2795-98C3-A28C-2AE078165B2B}"/>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7.xml><?xml version="1.0" encoding="utf-8"?>
<xdr:wsDr xmlns:xdr="http://schemas.openxmlformats.org/drawingml/2006/spreadsheetDrawing" xmlns:a="http://schemas.openxmlformats.org/drawingml/2006/main">
  <xdr:twoCellAnchor editAs="oneCell">
    <xdr:from>
      <xdr:col>8</xdr:col>
      <xdr:colOff>321237</xdr:colOff>
      <xdr:row>6</xdr:row>
      <xdr:rowOff>110787</xdr:rowOff>
    </xdr:from>
    <xdr:to>
      <xdr:col>12</xdr:col>
      <xdr:colOff>1869756</xdr:colOff>
      <xdr:row>30</xdr:row>
      <xdr:rowOff>2949</xdr:rowOff>
    </xdr:to>
    <xdr:pic>
      <xdr:nvPicPr>
        <xdr:cNvPr id="8" name="Picture 7">
          <a:extLst>
            <a:ext uri="{FF2B5EF4-FFF2-40B4-BE49-F238E27FC236}">
              <a16:creationId xmlns:a16="http://schemas.microsoft.com/office/drawing/2014/main" id="{BD5EF0EC-C76B-34D2-360B-57A7E96CD1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919884" y="1358375"/>
          <a:ext cx="7777480" cy="437451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17</xdr:col>
      <xdr:colOff>2242255</xdr:colOff>
      <xdr:row>6</xdr:row>
      <xdr:rowOff>92569</xdr:rowOff>
    </xdr:from>
    <xdr:to>
      <xdr:col>17</xdr:col>
      <xdr:colOff>3559469</xdr:colOff>
      <xdr:row>14</xdr:row>
      <xdr:rowOff>79910</xdr:rowOff>
    </xdr:to>
    <xdr:pic>
      <xdr:nvPicPr>
        <xdr:cNvPr id="2" name="Picture 1">
          <a:extLst>
            <a:ext uri="{FF2B5EF4-FFF2-40B4-BE49-F238E27FC236}">
              <a16:creationId xmlns:a16="http://schemas.microsoft.com/office/drawing/2014/main" id="{3072A586-261B-495F-A72C-02F21A22F739}"/>
            </a:ext>
          </a:extLst>
        </xdr:cNvPr>
        <xdr:cNvPicPr>
          <a:picLocks noChangeAspect="1"/>
        </xdr:cNvPicPr>
      </xdr:nvPicPr>
      <xdr:blipFill>
        <a:blip xmlns:r="http://schemas.openxmlformats.org/officeDocument/2006/relationships" r:embed="rId2"/>
        <a:stretch>
          <a:fillRect/>
        </a:stretch>
      </xdr:blipFill>
      <xdr:spPr>
        <a:xfrm>
          <a:off x="23719366" y="1320236"/>
          <a:ext cx="1407384" cy="1465056"/>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67235</xdr:colOff>
      <xdr:row>0</xdr:row>
      <xdr:rowOff>67236</xdr:rowOff>
    </xdr:from>
    <xdr:to>
      <xdr:col>1</xdr:col>
      <xdr:colOff>310486</xdr:colOff>
      <xdr:row>3</xdr:row>
      <xdr:rowOff>73768</xdr:rowOff>
    </xdr:to>
    <xdr:grpSp>
      <xdr:nvGrpSpPr>
        <xdr:cNvPr id="10" name="Group 2">
          <a:extLst>
            <a:ext uri="{FF2B5EF4-FFF2-40B4-BE49-F238E27FC236}">
              <a16:creationId xmlns:a16="http://schemas.microsoft.com/office/drawing/2014/main" id="{7208FDB4-03C9-4C29-9261-4A5EDBF8661B}"/>
            </a:ext>
          </a:extLst>
        </xdr:cNvPr>
        <xdr:cNvGrpSpPr/>
      </xdr:nvGrpSpPr>
      <xdr:grpSpPr>
        <a:xfrm>
          <a:off x="67235" y="67236"/>
          <a:ext cx="633776" cy="635182"/>
          <a:chOff x="8756769" y="4362234"/>
          <a:chExt cx="648000" cy="651646"/>
        </a:xfrm>
      </xdr:grpSpPr>
      <xdr:sp macro="" textlink="">
        <xdr:nvSpPr>
          <xdr:cNvPr id="11" name="Rectangle 3">
            <a:extLst>
              <a:ext uri="{FF2B5EF4-FFF2-40B4-BE49-F238E27FC236}">
                <a16:creationId xmlns:a16="http://schemas.microsoft.com/office/drawing/2014/main" id="{0C35F3B9-9E70-8BF2-E67A-E984E62E1819}"/>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2" name="Oval 4">
            <a:hlinkClick xmlns:r="http://schemas.openxmlformats.org/officeDocument/2006/relationships" r:id="rId3"/>
            <a:extLst>
              <a:ext uri="{FF2B5EF4-FFF2-40B4-BE49-F238E27FC236}">
                <a16:creationId xmlns:a16="http://schemas.microsoft.com/office/drawing/2014/main" id="{4929A694-5D26-2C5E-1CFA-E85619670C3D}"/>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7" name="Oval 5">
            <a:hlinkClick xmlns:r="http://schemas.openxmlformats.org/officeDocument/2006/relationships" r:id="rId4"/>
            <a:extLst>
              <a:ext uri="{FF2B5EF4-FFF2-40B4-BE49-F238E27FC236}">
                <a16:creationId xmlns:a16="http://schemas.microsoft.com/office/drawing/2014/main" id="{530CE3B2-F717-84D9-9070-553B906BB33F}"/>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8" name="Graphic 6" descr="Home with solid fill">
            <a:hlinkClick xmlns:r="http://schemas.openxmlformats.org/officeDocument/2006/relationships" r:id="rId5"/>
            <a:extLst>
              <a:ext uri="{FF2B5EF4-FFF2-40B4-BE49-F238E27FC236}">
                <a16:creationId xmlns:a16="http://schemas.microsoft.com/office/drawing/2014/main" id="{3BD9BAF9-AA2A-D663-C0E9-6229E66C69A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9" name="Graphic 8" descr="User outline">
            <a:hlinkClick xmlns:r="http://schemas.openxmlformats.org/officeDocument/2006/relationships" r:id="rId8"/>
            <a:extLst>
              <a:ext uri="{FF2B5EF4-FFF2-40B4-BE49-F238E27FC236}">
                <a16:creationId xmlns:a16="http://schemas.microsoft.com/office/drawing/2014/main" id="{756079ED-9E6C-6D4C-E1DE-E274713A477A}"/>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8.xml><?xml version="1.0" encoding="utf-8"?>
<xdr:wsDr xmlns:xdr="http://schemas.openxmlformats.org/drawingml/2006/spreadsheetDrawing" xmlns:a="http://schemas.openxmlformats.org/drawingml/2006/main">
  <xdr:twoCellAnchor editAs="oneCell">
    <xdr:from>
      <xdr:col>15</xdr:col>
      <xdr:colOff>212090</xdr:colOff>
      <xdr:row>4</xdr:row>
      <xdr:rowOff>106680</xdr:rowOff>
    </xdr:from>
    <xdr:to>
      <xdr:col>16</xdr:col>
      <xdr:colOff>383764</xdr:colOff>
      <xdr:row>12</xdr:row>
      <xdr:rowOff>116881</xdr:rowOff>
    </xdr:to>
    <xdr:pic>
      <xdr:nvPicPr>
        <xdr:cNvPr id="2" name="Picture 1">
          <a:extLst>
            <a:ext uri="{FF2B5EF4-FFF2-40B4-BE49-F238E27FC236}">
              <a16:creationId xmlns:a16="http://schemas.microsoft.com/office/drawing/2014/main" id="{DF8A268F-AA69-4710-BEC6-79017A381FC7}"/>
            </a:ext>
          </a:extLst>
        </xdr:cNvPr>
        <xdr:cNvPicPr>
          <a:picLocks noChangeAspect="1"/>
        </xdr:cNvPicPr>
      </xdr:nvPicPr>
      <xdr:blipFill>
        <a:blip xmlns:r="http://schemas.openxmlformats.org/officeDocument/2006/relationships" r:embed="rId1"/>
        <a:stretch>
          <a:fillRect/>
        </a:stretch>
      </xdr:blipFill>
      <xdr:spPr>
        <a:xfrm>
          <a:off x="15896590" y="925830"/>
          <a:ext cx="1403574" cy="148340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74706</xdr:colOff>
      <xdr:row>0</xdr:row>
      <xdr:rowOff>67235</xdr:rowOff>
    </xdr:from>
    <xdr:to>
      <xdr:col>1</xdr:col>
      <xdr:colOff>317957</xdr:colOff>
      <xdr:row>3</xdr:row>
      <xdr:rowOff>73767</xdr:rowOff>
    </xdr:to>
    <xdr:grpSp>
      <xdr:nvGrpSpPr>
        <xdr:cNvPr id="13" name="Group 3">
          <a:extLst>
            <a:ext uri="{FF2B5EF4-FFF2-40B4-BE49-F238E27FC236}">
              <a16:creationId xmlns:a16="http://schemas.microsoft.com/office/drawing/2014/main" id="{FD312B42-6E6F-4EF7-914F-E497D37008F2}"/>
            </a:ext>
          </a:extLst>
        </xdr:cNvPr>
        <xdr:cNvGrpSpPr/>
      </xdr:nvGrpSpPr>
      <xdr:grpSpPr>
        <a:xfrm>
          <a:off x="74706" y="67235"/>
          <a:ext cx="633776" cy="635182"/>
          <a:chOff x="8756769" y="4362234"/>
          <a:chExt cx="648000" cy="651646"/>
        </a:xfrm>
      </xdr:grpSpPr>
      <xdr:sp macro="" textlink="">
        <xdr:nvSpPr>
          <xdr:cNvPr id="14" name="Rectangle 7">
            <a:extLst>
              <a:ext uri="{FF2B5EF4-FFF2-40B4-BE49-F238E27FC236}">
                <a16:creationId xmlns:a16="http://schemas.microsoft.com/office/drawing/2014/main" id="{1EFBBD3D-09BE-F209-F24B-934AA9BB2626}"/>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CA493AD7-AFEB-D2C7-4519-08A75F811D54}"/>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3"/>
            <a:extLst>
              <a:ext uri="{FF2B5EF4-FFF2-40B4-BE49-F238E27FC236}">
                <a16:creationId xmlns:a16="http://schemas.microsoft.com/office/drawing/2014/main" id="{4C25B3CF-ECFB-2141-6207-9695CD2EE9EA}"/>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4"/>
            <a:extLst>
              <a:ext uri="{FF2B5EF4-FFF2-40B4-BE49-F238E27FC236}">
                <a16:creationId xmlns:a16="http://schemas.microsoft.com/office/drawing/2014/main" id="{5C0DD9B0-47EA-D1DA-7393-B85658A2BBB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7"/>
            <a:extLst>
              <a:ext uri="{FF2B5EF4-FFF2-40B4-BE49-F238E27FC236}">
                <a16:creationId xmlns:a16="http://schemas.microsoft.com/office/drawing/2014/main" id="{4EDA3BED-8E5C-3298-5D63-4B8C09A4B738}"/>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19.xml><?xml version="1.0" encoding="utf-8"?>
<xdr:wsDr xmlns:xdr="http://schemas.openxmlformats.org/drawingml/2006/spreadsheetDrawing" xmlns:a="http://schemas.openxmlformats.org/drawingml/2006/main">
  <xdr:twoCellAnchor editAs="oneCell">
    <xdr:from>
      <xdr:col>10</xdr:col>
      <xdr:colOff>343349</xdr:colOff>
      <xdr:row>4</xdr:row>
      <xdr:rowOff>36232</xdr:rowOff>
    </xdr:from>
    <xdr:to>
      <xdr:col>12</xdr:col>
      <xdr:colOff>460190</xdr:colOff>
      <xdr:row>12</xdr:row>
      <xdr:rowOff>41353</xdr:rowOff>
    </xdr:to>
    <xdr:pic>
      <xdr:nvPicPr>
        <xdr:cNvPr id="2" name="Picture 1">
          <a:extLst>
            <a:ext uri="{FF2B5EF4-FFF2-40B4-BE49-F238E27FC236}">
              <a16:creationId xmlns:a16="http://schemas.microsoft.com/office/drawing/2014/main" id="{CF563936-6A13-4854-86CC-936388D451B8}"/>
            </a:ext>
          </a:extLst>
        </xdr:cNvPr>
        <xdr:cNvPicPr>
          <a:picLocks noChangeAspect="1"/>
        </xdr:cNvPicPr>
      </xdr:nvPicPr>
      <xdr:blipFill>
        <a:blip xmlns:r="http://schemas.openxmlformats.org/officeDocument/2006/relationships" r:embed="rId17"/>
        <a:stretch>
          <a:fillRect/>
        </a:stretch>
      </xdr:blipFill>
      <xdr:spPr>
        <a:xfrm>
          <a:off x="15532549" y="855382"/>
          <a:ext cx="1412241" cy="1478321"/>
        </a:xfrm>
        <a:prstGeom prst="rect">
          <a:avLst/>
        </a:prstGeom>
      </xdr:spPr>
    </xdr:pic>
    <xdr:clientData/>
  </xdr:twoCellAnchor>
  <xdr:twoCellAnchor>
    <xdr:from>
      <xdr:col>3</xdr:col>
      <xdr:colOff>745490</xdr:colOff>
      <xdr:row>26</xdr:row>
      <xdr:rowOff>135890</xdr:rowOff>
    </xdr:from>
    <xdr:to>
      <xdr:col>4</xdr:col>
      <xdr:colOff>359231</xdr:colOff>
      <xdr:row>30</xdr:row>
      <xdr:rowOff>181393</xdr:rowOff>
    </xdr:to>
    <xdr:pic>
      <xdr:nvPicPr>
        <xdr:cNvPr id="9" name="Graphic 8" descr="Collision outline">
          <a:extLst>
            <a:ext uri="{FF2B5EF4-FFF2-40B4-BE49-F238E27FC236}">
              <a16:creationId xmlns:a16="http://schemas.microsoft.com/office/drawing/2014/main" id="{5E0CDA37-EC1F-B361-465B-CFB809A08A6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266190" y="4453890"/>
          <a:ext cx="902791" cy="782103"/>
        </a:xfrm>
        <a:prstGeom prst="rect">
          <a:avLst/>
        </a:prstGeom>
      </xdr:spPr>
    </xdr:pic>
    <xdr:clientData/>
  </xdr:twoCellAnchor>
  <xdr:twoCellAnchor>
    <xdr:from>
      <xdr:col>16384</xdr:col>
      <xdr:colOff>2343150</xdr:colOff>
      <xdr:row>2</xdr:row>
      <xdr:rowOff>57150</xdr:rowOff>
    </xdr:from>
    <xdr:to>
      <xdr:col>16384</xdr:col>
      <xdr:colOff>5267325</xdr:colOff>
      <xdr:row>6</xdr:row>
      <xdr:rowOff>123825</xdr:rowOff>
    </xdr:to>
    <xdr:sp macro="" textlink="">
      <xdr:nvSpPr>
        <xdr:cNvPr id="16" name="TextBox 15">
          <a:extLst>
            <a:ext uri="{FF2B5EF4-FFF2-40B4-BE49-F238E27FC236}">
              <a16:creationId xmlns:a16="http://schemas.microsoft.com/office/drawing/2014/main" id="{8B5F94BC-8C36-8A76-7A00-004F023A7609}"/>
            </a:ext>
            <a:ext uri="{147F2762-F138-4A5C-976F-8EAC2B608ADB}">
              <a16:predDERef xmlns:a16="http://schemas.microsoft.com/office/drawing/2014/main" pred="{BDCE2F21-278F-5589-CC88-04E1955F8610}"/>
            </a:ext>
          </a:extLst>
        </xdr:cNvPr>
        <xdr:cNvSpPr txBox="1"/>
      </xdr:nvSpPr>
      <xdr:spPr>
        <a:xfrm>
          <a:off x="19688175" y="504825"/>
          <a:ext cx="2924175" cy="790575"/>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AU" sz="900">
              <a:solidFill>
                <a:schemeClr val="dk1"/>
              </a:solidFill>
              <a:latin typeface="+mn-lt"/>
              <a:ea typeface="+mn-ea"/>
              <a:cs typeface="+mn-cs"/>
            </a:rPr>
            <a:t>- Signoff to invoke: Board</a:t>
          </a:r>
        </a:p>
        <a:p>
          <a:pPr marL="0" indent="0"/>
          <a:r>
            <a:rPr lang="en-AU" sz="900">
              <a:solidFill>
                <a:schemeClr val="dk1"/>
              </a:solidFill>
              <a:latin typeface="+mn-lt"/>
              <a:ea typeface="+mn-ea"/>
              <a:cs typeface="+mn-cs"/>
            </a:rPr>
            <a:t>- Communication plan</a:t>
          </a:r>
        </a:p>
        <a:p>
          <a:pPr marL="0" indent="0"/>
          <a:r>
            <a:rPr lang="en-AU" sz="900">
              <a:solidFill>
                <a:schemeClr val="dk1"/>
              </a:solidFill>
              <a:latin typeface="+mn-lt"/>
              <a:ea typeface="+mn-ea"/>
              <a:cs typeface="+mn-cs"/>
            </a:rPr>
            <a:t>- Contingency plan validation</a:t>
          </a:r>
        </a:p>
        <a:p>
          <a:pPr marL="0" indent="0"/>
          <a:r>
            <a:rPr lang="en-AU" sz="900">
              <a:solidFill>
                <a:schemeClr val="dk1"/>
              </a:solidFill>
              <a:latin typeface="+mn-lt"/>
              <a:ea typeface="+mn-ea"/>
              <a:cs typeface="+mn-cs"/>
            </a:rPr>
            <a:t>- Redeploy testing</a:t>
          </a:r>
        </a:p>
      </xdr:txBody>
    </xdr:sp>
    <xdr:clientData/>
  </xdr:twoCellAnchor>
  <xdr:twoCellAnchor>
    <xdr:from>
      <xdr:col>0</xdr:col>
      <xdr:colOff>67235</xdr:colOff>
      <xdr:row>0</xdr:row>
      <xdr:rowOff>74706</xdr:rowOff>
    </xdr:from>
    <xdr:to>
      <xdr:col>1</xdr:col>
      <xdr:colOff>310486</xdr:colOff>
      <xdr:row>3</xdr:row>
      <xdr:rowOff>88709</xdr:rowOff>
    </xdr:to>
    <xdr:grpSp>
      <xdr:nvGrpSpPr>
        <xdr:cNvPr id="31" name="Group 3">
          <a:extLst>
            <a:ext uri="{FF2B5EF4-FFF2-40B4-BE49-F238E27FC236}">
              <a16:creationId xmlns:a16="http://schemas.microsoft.com/office/drawing/2014/main" id="{DABD9592-0FD3-4C6F-9B4C-F30E3CE9C3BA}"/>
            </a:ext>
          </a:extLst>
        </xdr:cNvPr>
        <xdr:cNvGrpSpPr/>
      </xdr:nvGrpSpPr>
      <xdr:grpSpPr>
        <a:xfrm>
          <a:off x="67235" y="74706"/>
          <a:ext cx="633776" cy="642653"/>
          <a:chOff x="8756769" y="4362234"/>
          <a:chExt cx="648000" cy="651646"/>
        </a:xfrm>
      </xdr:grpSpPr>
      <xdr:sp macro="" textlink="">
        <xdr:nvSpPr>
          <xdr:cNvPr id="32" name="Rectangle 13">
            <a:extLst>
              <a:ext uri="{FF2B5EF4-FFF2-40B4-BE49-F238E27FC236}">
                <a16:creationId xmlns:a16="http://schemas.microsoft.com/office/drawing/2014/main" id="{CC3A1F19-2652-7F60-2761-11484C4D19CA}"/>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33" name="Oval 20">
            <a:hlinkClick xmlns:r="http://schemas.openxmlformats.org/officeDocument/2006/relationships" r:id="rId20"/>
            <a:extLst>
              <a:ext uri="{FF2B5EF4-FFF2-40B4-BE49-F238E27FC236}">
                <a16:creationId xmlns:a16="http://schemas.microsoft.com/office/drawing/2014/main" id="{1A67E9EE-6016-9478-5A2B-F6B0F754796E}"/>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34" name="Oval 27">
            <a:hlinkClick xmlns:r="http://schemas.openxmlformats.org/officeDocument/2006/relationships" r:id="rId21"/>
            <a:extLst>
              <a:ext uri="{FF2B5EF4-FFF2-40B4-BE49-F238E27FC236}">
                <a16:creationId xmlns:a16="http://schemas.microsoft.com/office/drawing/2014/main" id="{9BDC512C-2026-2C49-FA60-F2945DD8121E}"/>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35" name="Graphic 28" descr="Home with solid fill">
            <a:hlinkClick xmlns:r="http://schemas.openxmlformats.org/officeDocument/2006/relationships" r:id="rId22"/>
            <a:extLst>
              <a:ext uri="{FF2B5EF4-FFF2-40B4-BE49-F238E27FC236}">
                <a16:creationId xmlns:a16="http://schemas.microsoft.com/office/drawing/2014/main" id="{DB0042D6-885D-5DB7-146A-DDCD87C49E08}"/>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36" name="Graphic 29" descr="User outline">
            <a:hlinkClick xmlns:r="http://schemas.openxmlformats.org/officeDocument/2006/relationships" r:id="rId25"/>
            <a:extLst>
              <a:ext uri="{FF2B5EF4-FFF2-40B4-BE49-F238E27FC236}">
                <a16:creationId xmlns:a16="http://schemas.microsoft.com/office/drawing/2014/main" id="{9E8E06B4-D1BC-4024-D611-7F920FFCEA0E}"/>
              </a:ext>
            </a:extLst>
          </xdr:cNvPr>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twoCellAnchor>
    <xdr:from>
      <xdr:col>2</xdr:col>
      <xdr:colOff>186690</xdr:colOff>
      <xdr:row>27</xdr:row>
      <xdr:rowOff>82679</xdr:rowOff>
    </xdr:from>
    <xdr:to>
      <xdr:col>12</xdr:col>
      <xdr:colOff>618435</xdr:colOff>
      <xdr:row>66</xdr:row>
      <xdr:rowOff>73660</xdr:rowOff>
    </xdr:to>
    <xdr:grpSp>
      <xdr:nvGrpSpPr>
        <xdr:cNvPr id="38" name="Group 37">
          <a:extLst>
            <a:ext uri="{FF2B5EF4-FFF2-40B4-BE49-F238E27FC236}">
              <a16:creationId xmlns:a16="http://schemas.microsoft.com/office/drawing/2014/main" id="{607DA319-6851-F83D-4EBC-7558ECC05D78}"/>
            </a:ext>
          </a:extLst>
        </xdr:cNvPr>
        <xdr:cNvGrpSpPr/>
      </xdr:nvGrpSpPr>
      <xdr:grpSpPr>
        <a:xfrm>
          <a:off x="967740" y="5054729"/>
          <a:ext cx="16119420" cy="7049006"/>
          <a:chOff x="1014951" y="5079853"/>
          <a:chExt cx="16875484" cy="7097459"/>
        </a:xfrm>
      </xdr:grpSpPr>
      <xdr:graphicFrame macro="">
        <xdr:nvGraphicFramePr>
          <xdr:cNvPr id="3" name="Diagram 2">
            <a:extLst>
              <a:ext uri="{FF2B5EF4-FFF2-40B4-BE49-F238E27FC236}">
                <a16:creationId xmlns:a16="http://schemas.microsoft.com/office/drawing/2014/main" id="{035203EB-8CFD-2224-E9D1-5196245C5418}"/>
              </a:ext>
            </a:extLst>
          </xdr:cNvPr>
          <xdr:cNvGraphicFramePr/>
        </xdr:nvGraphicFramePr>
        <xdr:xfrm>
          <a:off x="2827990" y="5763902"/>
          <a:ext cx="11860664" cy="6413410"/>
        </xdr:xfrm>
        <a:graphic>
          <a:graphicData uri="http://schemas.openxmlformats.org/drawingml/2006/diagram">
            <dgm:relIds xmlns:dgm="http://schemas.openxmlformats.org/drawingml/2006/diagram" xmlns:r="http://schemas.openxmlformats.org/officeDocument/2006/relationships" r:dm="rId12" r:lo="rId13" r:qs="rId14" r:cs="rId15"/>
          </a:graphicData>
        </a:graphic>
      </xdr:graphicFrame>
      <xdr:sp macro="" textlink="">
        <xdr:nvSpPr>
          <xdr:cNvPr id="5" name="Arrow: Down 4">
            <a:extLst>
              <a:ext uri="{FF2B5EF4-FFF2-40B4-BE49-F238E27FC236}">
                <a16:creationId xmlns:a16="http://schemas.microsoft.com/office/drawing/2014/main" id="{4305B3E2-A694-028A-186C-E0D5AFE50059}"/>
              </a:ext>
            </a:extLst>
          </xdr:cNvPr>
          <xdr:cNvSpPr/>
        </xdr:nvSpPr>
        <xdr:spPr>
          <a:xfrm>
            <a:off x="1588228" y="5789321"/>
            <a:ext cx="1399479" cy="6316263"/>
          </a:xfrm>
          <a:prstGeom prst="downArrow">
            <a:avLst/>
          </a:prstGeom>
          <a:gradFill rotWithShape="0">
            <a:gsLst>
              <a:gs pos="0">
                <a:srgbClr val="F25022"/>
              </a:gs>
              <a:gs pos="80000">
                <a:srgbClr val="FFB900"/>
              </a:gs>
              <a:gs pos="94000">
                <a:sysClr val="window" lastClr="FFFFFF"/>
              </a:gs>
              <a:gs pos="100000">
                <a:sysClr val="window" lastClr="FFFFFF"/>
              </a:gs>
            </a:gsLst>
            <a:lin ang="5400000" scaled="1"/>
          </a:gradFill>
          <a:ln w="12700" cap="flat" cmpd="sng" algn="ctr">
            <a:solidFill>
              <a:sysClr val="window" lastClr="FFFFFF">
                <a:hueOff val="0"/>
                <a:satOff val="0"/>
                <a:lumOff val="0"/>
                <a:alphaOff val="0"/>
              </a:sysClr>
            </a:solidFill>
            <a:prstDash val="solid"/>
            <a:miter lim="800000"/>
          </a:ln>
          <a:effectLst/>
        </xdr:spPr>
        <xdr:txBody>
          <a:bodyPr vert="vert270" anchor="ctr"/>
          <a:lstStyle/>
          <a:p>
            <a:pPr algn="ctr"/>
            <a:r>
              <a:rPr lang="en-AU" sz="2400">
                <a:solidFill>
                  <a:schemeClr val="bg1"/>
                </a:solidFill>
              </a:rPr>
              <a:t>Impact Scope</a:t>
            </a:r>
          </a:p>
        </xdr:txBody>
      </xdr:sp>
      <xdr:sp macro="" textlink="">
        <xdr:nvSpPr>
          <xdr:cNvPr id="10" name="TextBox 9">
            <a:extLst>
              <a:ext uri="{FF2B5EF4-FFF2-40B4-BE49-F238E27FC236}">
                <a16:creationId xmlns:a16="http://schemas.microsoft.com/office/drawing/2014/main" id="{B4EEC1AB-7B74-8928-0389-99F3E89D3895}"/>
              </a:ext>
            </a:extLst>
          </xdr:cNvPr>
          <xdr:cNvSpPr txBox="1"/>
        </xdr:nvSpPr>
        <xdr:spPr>
          <a:xfrm>
            <a:off x="1014951" y="5079853"/>
            <a:ext cx="685855" cy="528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t>Disaster Event </a:t>
            </a:r>
            <a:r>
              <a:rPr lang="en-AU" sz="1100" b="1" baseline="30000"/>
              <a:t>3</a:t>
            </a:r>
          </a:p>
        </xdr:txBody>
      </xdr:sp>
      <xdr:sp macro="" textlink="">
        <xdr:nvSpPr>
          <xdr:cNvPr id="13" name="TextBox 12">
            <a:extLst>
              <a:ext uri="{FF2B5EF4-FFF2-40B4-BE49-F238E27FC236}">
                <a16:creationId xmlns:a16="http://schemas.microsoft.com/office/drawing/2014/main" id="{4CA2A143-A8A3-7618-6F4C-C2E9131649DA}"/>
              </a:ext>
            </a:extLst>
          </xdr:cNvPr>
          <xdr:cNvSpPr txBox="1"/>
        </xdr:nvSpPr>
        <xdr:spPr>
          <a:xfrm>
            <a:off x="10376047" y="5199058"/>
            <a:ext cx="1682030" cy="2897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t>Response Plan</a:t>
            </a:r>
          </a:p>
        </xdr:txBody>
      </xdr:sp>
      <xdr:sp macro="" textlink="">
        <xdr:nvSpPr>
          <xdr:cNvPr id="12" name="TextBox 11">
            <a:extLst>
              <a:ext uri="{FF2B5EF4-FFF2-40B4-BE49-F238E27FC236}">
                <a16:creationId xmlns:a16="http://schemas.microsoft.com/office/drawing/2014/main" id="{A1AA9DDA-F72F-BB6D-B623-D39CD9B48ED0}"/>
              </a:ext>
            </a:extLst>
          </xdr:cNvPr>
          <xdr:cNvSpPr txBox="1"/>
        </xdr:nvSpPr>
        <xdr:spPr>
          <a:xfrm>
            <a:off x="7356177" y="5199058"/>
            <a:ext cx="1686282" cy="2897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t>Event Scope </a:t>
            </a:r>
            <a:r>
              <a:rPr lang="en-AU" sz="1100" b="1" baseline="30000"/>
              <a:t>3</a:t>
            </a:r>
          </a:p>
        </xdr:txBody>
      </xdr:sp>
      <xdr:sp macro="" textlink="">
        <xdr:nvSpPr>
          <xdr:cNvPr id="20" name="TextBox 19">
            <a:extLst>
              <a:ext uri="{FF2B5EF4-FFF2-40B4-BE49-F238E27FC236}">
                <a16:creationId xmlns:a16="http://schemas.microsoft.com/office/drawing/2014/main" id="{1B2CB632-F6AA-2BE5-2556-518E355A1779}"/>
              </a:ext>
            </a:extLst>
          </xdr:cNvPr>
          <xdr:cNvSpPr txBox="1"/>
        </xdr:nvSpPr>
        <xdr:spPr>
          <a:xfrm>
            <a:off x="15379434" y="5183183"/>
            <a:ext cx="1749119" cy="296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t>Preparation</a:t>
            </a:r>
          </a:p>
        </xdr:txBody>
      </xdr:sp>
      <xdr:sp macro="" textlink="">
        <xdr:nvSpPr>
          <xdr:cNvPr id="4" name="TextBox 3">
            <a:extLst>
              <a:ext uri="{FF2B5EF4-FFF2-40B4-BE49-F238E27FC236}">
                <a16:creationId xmlns:a16="http://schemas.microsoft.com/office/drawing/2014/main" id="{CD8F29BD-1D5E-4BD6-AFA1-7F4180DEC0D4}"/>
              </a:ext>
            </a:extLst>
          </xdr:cNvPr>
          <xdr:cNvSpPr txBox="1"/>
        </xdr:nvSpPr>
        <xdr:spPr>
          <a:xfrm>
            <a:off x="14683574" y="5770867"/>
            <a:ext cx="3206861" cy="802530"/>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900"/>
              <a:t>- Signoff to invoke: Board</a:t>
            </a:r>
          </a:p>
          <a:p>
            <a:r>
              <a:rPr lang="en-AU" sz="900"/>
              <a:t>- Communication plan</a:t>
            </a:r>
          </a:p>
          <a:p>
            <a:r>
              <a:rPr lang="en-AU" sz="900"/>
              <a:t>- Contingency </a:t>
            </a:r>
            <a:r>
              <a:rPr lang="en-AU" sz="900" baseline="0"/>
              <a:t>plan validation</a:t>
            </a:r>
          </a:p>
          <a:p>
            <a:r>
              <a:rPr lang="en-AU" sz="900" baseline="0"/>
              <a:t>- Redeploy testing</a:t>
            </a:r>
            <a:endParaRPr lang="en-AU" sz="900"/>
          </a:p>
        </xdr:txBody>
      </xdr:sp>
      <xdr:sp macro="" textlink="">
        <xdr:nvSpPr>
          <xdr:cNvPr id="6" name="TextBox 5">
            <a:extLst>
              <a:ext uri="{FF2B5EF4-FFF2-40B4-BE49-F238E27FC236}">
                <a16:creationId xmlns:a16="http://schemas.microsoft.com/office/drawing/2014/main" id="{9E1909E8-3442-429C-80DD-BF9FE38C6416}"/>
              </a:ext>
            </a:extLst>
          </xdr:cNvPr>
          <xdr:cNvSpPr txBox="1"/>
        </xdr:nvSpPr>
        <xdr:spPr>
          <a:xfrm>
            <a:off x="14683574" y="6577430"/>
            <a:ext cx="3202737" cy="796390"/>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AU" sz="900">
                <a:solidFill>
                  <a:schemeClr val="dk1"/>
                </a:solidFill>
                <a:latin typeface="+mn-lt"/>
                <a:ea typeface="+mn-ea"/>
                <a:cs typeface="+mn-cs"/>
              </a:rPr>
              <a:t>- Signoff to invoke: Board</a:t>
            </a:r>
          </a:p>
          <a:p>
            <a:pPr marL="0" indent="0"/>
            <a:r>
              <a:rPr lang="en-AU" sz="900">
                <a:solidFill>
                  <a:schemeClr val="dk1"/>
                </a:solidFill>
                <a:latin typeface="+mn-lt"/>
                <a:ea typeface="+mn-ea"/>
                <a:cs typeface="+mn-cs"/>
              </a:rPr>
              <a:t>- Communication plan</a:t>
            </a:r>
          </a:p>
          <a:p>
            <a:pPr marL="0" indent="0"/>
            <a:r>
              <a:rPr lang="en-AU" sz="900">
                <a:solidFill>
                  <a:schemeClr val="dk1"/>
                </a:solidFill>
                <a:latin typeface="+mn-lt"/>
                <a:ea typeface="+mn-ea"/>
                <a:cs typeface="+mn-cs"/>
              </a:rPr>
              <a:t>- Contingency plan validation</a:t>
            </a:r>
          </a:p>
          <a:p>
            <a:pPr marL="0" indent="0"/>
            <a:r>
              <a:rPr lang="en-AU" sz="900">
                <a:solidFill>
                  <a:schemeClr val="dk1"/>
                </a:solidFill>
                <a:latin typeface="+mn-lt"/>
                <a:ea typeface="+mn-ea"/>
                <a:cs typeface="+mn-cs"/>
              </a:rPr>
              <a:t>- Redeploy testing</a:t>
            </a:r>
          </a:p>
        </xdr:txBody>
      </xdr:sp>
      <xdr:sp macro="" textlink="">
        <xdr:nvSpPr>
          <xdr:cNvPr id="7" name="TextBox 6">
            <a:extLst>
              <a:ext uri="{FF2B5EF4-FFF2-40B4-BE49-F238E27FC236}">
                <a16:creationId xmlns:a16="http://schemas.microsoft.com/office/drawing/2014/main" id="{98E004BB-C3A0-4D47-96CA-20F90C353F76}"/>
              </a:ext>
            </a:extLst>
          </xdr:cNvPr>
          <xdr:cNvSpPr txBox="1"/>
        </xdr:nvSpPr>
        <xdr:spPr>
          <a:xfrm>
            <a:off x="14683574" y="7377853"/>
            <a:ext cx="3202737" cy="745072"/>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900">
                <a:solidFill>
                  <a:schemeClr val="dk1"/>
                </a:solidFill>
                <a:effectLst/>
                <a:latin typeface="+mn-lt"/>
                <a:ea typeface="+mn-ea"/>
                <a:cs typeface="+mn-cs"/>
              </a:rPr>
              <a:t>- Signoff to invoke: Application Business Owner</a:t>
            </a:r>
            <a:endParaRPr lang="en-AU" sz="900">
              <a:effectLst/>
            </a:endParaRPr>
          </a:p>
          <a:p>
            <a:r>
              <a:rPr lang="en-AU" sz="900">
                <a:solidFill>
                  <a:schemeClr val="dk1"/>
                </a:solidFill>
                <a:effectLst/>
                <a:latin typeface="+mn-lt"/>
                <a:ea typeface="+mn-ea"/>
                <a:cs typeface="+mn-cs"/>
              </a:rPr>
              <a:t>- Communication plan</a:t>
            </a:r>
            <a:endParaRPr lang="en-AU" sz="900">
              <a:effectLst/>
            </a:endParaRPr>
          </a:p>
          <a:p>
            <a:r>
              <a:rPr lang="en-AU" sz="900" baseline="0">
                <a:solidFill>
                  <a:schemeClr val="dk1"/>
                </a:solidFill>
                <a:effectLst/>
                <a:latin typeface="+mn-lt"/>
                <a:ea typeface="+mn-ea"/>
                <a:cs typeface="+mn-cs"/>
              </a:rPr>
              <a:t>- Failover testing</a:t>
            </a:r>
          </a:p>
          <a:p>
            <a:pPr marL="0" marR="0" lvl="0" indent="0" defTabSz="914400" eaLnBrk="1" fontAlgn="auto" latinLnBrk="0" hangingPunct="1">
              <a:lnSpc>
                <a:spcPct val="100000"/>
              </a:lnSpc>
              <a:spcBef>
                <a:spcPts val="0"/>
              </a:spcBef>
              <a:spcAft>
                <a:spcPts val="0"/>
              </a:spcAft>
              <a:buClrTx/>
              <a:buSzTx/>
              <a:buFontTx/>
              <a:buNone/>
              <a:tabLst/>
              <a:defRPr/>
            </a:pPr>
            <a:r>
              <a:rPr lang="en-AU" sz="900">
                <a:solidFill>
                  <a:schemeClr val="dk1"/>
                </a:solidFill>
                <a:effectLst/>
                <a:latin typeface="+mn-lt"/>
                <a:ea typeface="+mn-ea"/>
                <a:cs typeface="+mn-cs"/>
              </a:rPr>
              <a:t>- Recovery</a:t>
            </a:r>
            <a:r>
              <a:rPr lang="en-AU" sz="900" baseline="0">
                <a:solidFill>
                  <a:schemeClr val="dk1"/>
                </a:solidFill>
                <a:effectLst/>
                <a:latin typeface="+mn-lt"/>
                <a:ea typeface="+mn-ea"/>
                <a:cs typeface="+mn-cs"/>
              </a:rPr>
              <a:t> testing</a:t>
            </a:r>
            <a:endParaRPr lang="en-AU" sz="900">
              <a:effectLst/>
            </a:endParaRPr>
          </a:p>
          <a:p>
            <a:endParaRPr lang="en-AU" sz="900">
              <a:effectLst/>
            </a:endParaRPr>
          </a:p>
        </xdr:txBody>
      </xdr:sp>
      <xdr:sp macro="" textlink="">
        <xdr:nvSpPr>
          <xdr:cNvPr id="8" name="TextBox 7">
            <a:extLst>
              <a:ext uri="{FF2B5EF4-FFF2-40B4-BE49-F238E27FC236}">
                <a16:creationId xmlns:a16="http://schemas.microsoft.com/office/drawing/2014/main" id="{F4313A28-414B-4B09-8883-B5D8ED4CD98A}"/>
              </a:ext>
            </a:extLst>
          </xdr:cNvPr>
          <xdr:cNvSpPr txBox="1"/>
        </xdr:nvSpPr>
        <xdr:spPr>
          <a:xfrm>
            <a:off x="14683574" y="8126958"/>
            <a:ext cx="3202737" cy="835372"/>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900">
                <a:solidFill>
                  <a:schemeClr val="dk1"/>
                </a:solidFill>
                <a:effectLst/>
                <a:latin typeface="+mn-lt"/>
                <a:ea typeface="+mn-ea"/>
                <a:cs typeface="+mn-cs"/>
              </a:rPr>
              <a:t>- Signoff to invoke: Application Business Owner</a:t>
            </a:r>
            <a:endParaRPr lang="en-AU" sz="900">
              <a:effectLst/>
            </a:endParaRPr>
          </a:p>
          <a:p>
            <a:r>
              <a:rPr lang="en-AU" sz="900">
                <a:solidFill>
                  <a:schemeClr val="dk1"/>
                </a:solidFill>
                <a:effectLst/>
                <a:latin typeface="+mn-lt"/>
                <a:ea typeface="+mn-ea"/>
                <a:cs typeface="+mn-cs"/>
              </a:rPr>
              <a:t>- Communication plan</a:t>
            </a:r>
            <a:endParaRPr lang="en-AU" sz="900">
              <a:effectLst/>
            </a:endParaRPr>
          </a:p>
          <a:p>
            <a:r>
              <a:rPr lang="en-AU" sz="900">
                <a:solidFill>
                  <a:schemeClr val="dk1"/>
                </a:solidFill>
                <a:effectLst/>
                <a:latin typeface="+mn-lt"/>
                <a:ea typeface="+mn-ea"/>
                <a:cs typeface="+mn-cs"/>
              </a:rPr>
              <a:t>- Failover testing</a:t>
            </a:r>
          </a:p>
          <a:p>
            <a:r>
              <a:rPr lang="en-AU" sz="900">
                <a:solidFill>
                  <a:schemeClr val="dk1"/>
                </a:solidFill>
                <a:effectLst/>
                <a:latin typeface="+mn-lt"/>
                <a:ea typeface="+mn-ea"/>
                <a:cs typeface="+mn-cs"/>
              </a:rPr>
              <a:t>- Recovery testing</a:t>
            </a:r>
          </a:p>
        </xdr:txBody>
      </xdr:sp>
      <xdr:sp macro="" textlink="">
        <xdr:nvSpPr>
          <xdr:cNvPr id="11" name="TextBox 10">
            <a:extLst>
              <a:ext uri="{FF2B5EF4-FFF2-40B4-BE49-F238E27FC236}">
                <a16:creationId xmlns:a16="http://schemas.microsoft.com/office/drawing/2014/main" id="{EB259BE9-9ACE-4F81-9392-173DB7BC848B}"/>
              </a:ext>
            </a:extLst>
          </xdr:cNvPr>
          <xdr:cNvSpPr txBox="1"/>
        </xdr:nvSpPr>
        <xdr:spPr>
          <a:xfrm>
            <a:off x="14683574" y="8966363"/>
            <a:ext cx="3202737" cy="795205"/>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900">
                <a:solidFill>
                  <a:schemeClr val="dk1"/>
                </a:solidFill>
                <a:effectLst/>
                <a:latin typeface="+mn-lt"/>
                <a:ea typeface="+mn-ea"/>
                <a:cs typeface="+mn-cs"/>
              </a:rPr>
              <a:t>- Signoff to invoke: Application Business Owner</a:t>
            </a:r>
            <a:endParaRPr lang="en-AU" sz="900">
              <a:effectLst/>
            </a:endParaRPr>
          </a:p>
          <a:p>
            <a:r>
              <a:rPr lang="en-AU" sz="900">
                <a:solidFill>
                  <a:schemeClr val="dk1"/>
                </a:solidFill>
                <a:effectLst/>
                <a:latin typeface="+mn-lt"/>
                <a:ea typeface="+mn-ea"/>
                <a:cs typeface="+mn-cs"/>
              </a:rPr>
              <a:t>- Communication plan</a:t>
            </a:r>
            <a:endParaRPr lang="en-AU" sz="900">
              <a:effectLst/>
            </a:endParaRPr>
          </a:p>
          <a:p>
            <a:r>
              <a:rPr lang="en-AU" sz="900">
                <a:solidFill>
                  <a:schemeClr val="dk1"/>
                </a:solidFill>
                <a:effectLst/>
                <a:latin typeface="+mn-lt"/>
                <a:ea typeface="+mn-ea"/>
                <a:cs typeface="+mn-cs"/>
              </a:rPr>
              <a:t>- Failover testing</a:t>
            </a:r>
          </a:p>
          <a:p>
            <a:r>
              <a:rPr lang="en-AU" sz="900">
                <a:solidFill>
                  <a:schemeClr val="dk1"/>
                </a:solidFill>
                <a:effectLst/>
                <a:latin typeface="+mn-lt"/>
                <a:ea typeface="+mn-ea"/>
                <a:cs typeface="+mn-cs"/>
              </a:rPr>
              <a:t>- Recovery testing</a:t>
            </a:r>
          </a:p>
        </xdr:txBody>
      </xdr:sp>
      <xdr:sp macro="" textlink="">
        <xdr:nvSpPr>
          <xdr:cNvPr id="14" name="TextBox 13">
            <a:extLst>
              <a:ext uri="{FF2B5EF4-FFF2-40B4-BE49-F238E27FC236}">
                <a16:creationId xmlns:a16="http://schemas.microsoft.com/office/drawing/2014/main" id="{807C0D9A-DF12-4852-9A0C-49392263D2A1}"/>
              </a:ext>
            </a:extLst>
          </xdr:cNvPr>
          <xdr:cNvSpPr txBox="1"/>
        </xdr:nvSpPr>
        <xdr:spPr>
          <a:xfrm>
            <a:off x="14683574" y="9765601"/>
            <a:ext cx="3202737" cy="798233"/>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900"/>
              <a:t>- Signoff to invoke: Application Business Owner</a:t>
            </a:r>
          </a:p>
          <a:p>
            <a:r>
              <a:rPr lang="en-AU" sz="900"/>
              <a:t>- Communication plan</a:t>
            </a:r>
          </a:p>
          <a:p>
            <a:r>
              <a:rPr lang="en-AU" sz="900"/>
              <a:t>- Recovery testing</a:t>
            </a:r>
          </a:p>
          <a:p>
            <a:endParaRPr lang="en-AU" sz="900"/>
          </a:p>
        </xdr:txBody>
      </xdr:sp>
      <xdr:sp macro="" textlink="">
        <xdr:nvSpPr>
          <xdr:cNvPr id="21" name="TextBox 20">
            <a:extLst>
              <a:ext uri="{FF2B5EF4-FFF2-40B4-BE49-F238E27FC236}">
                <a16:creationId xmlns:a16="http://schemas.microsoft.com/office/drawing/2014/main" id="{DC6FF01F-61BB-4577-B236-5AAEA4842F75}"/>
              </a:ext>
            </a:extLst>
          </xdr:cNvPr>
          <xdr:cNvSpPr txBox="1"/>
        </xdr:nvSpPr>
        <xdr:spPr>
          <a:xfrm>
            <a:off x="14682304" y="11844486"/>
            <a:ext cx="3202737" cy="331134"/>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AU" sz="900"/>
          </a:p>
        </xdr:txBody>
      </xdr:sp>
      <xdr:sp macro="" textlink="">
        <xdr:nvSpPr>
          <xdr:cNvPr id="28" name="TextBox 27">
            <a:extLst>
              <a:ext uri="{FF2B5EF4-FFF2-40B4-BE49-F238E27FC236}">
                <a16:creationId xmlns:a16="http://schemas.microsoft.com/office/drawing/2014/main" id="{17BD24CF-1659-4C9F-BF15-C81D26E12AFC}"/>
              </a:ext>
            </a:extLst>
          </xdr:cNvPr>
          <xdr:cNvSpPr txBox="1"/>
        </xdr:nvSpPr>
        <xdr:spPr>
          <a:xfrm>
            <a:off x="14683574" y="10567867"/>
            <a:ext cx="3202737" cy="317061"/>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AU" sz="900"/>
          </a:p>
        </xdr:txBody>
      </xdr:sp>
      <xdr:sp macro="" textlink="">
        <xdr:nvSpPr>
          <xdr:cNvPr id="29" name="TextBox 28">
            <a:extLst>
              <a:ext uri="{FF2B5EF4-FFF2-40B4-BE49-F238E27FC236}">
                <a16:creationId xmlns:a16="http://schemas.microsoft.com/office/drawing/2014/main" id="{58831946-E7B0-47B9-9F0C-FD0E0C462613}"/>
              </a:ext>
            </a:extLst>
          </xdr:cNvPr>
          <xdr:cNvSpPr txBox="1"/>
        </xdr:nvSpPr>
        <xdr:spPr>
          <a:xfrm>
            <a:off x="14683574" y="10888961"/>
            <a:ext cx="3202737" cy="289023"/>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AU" sz="900"/>
          </a:p>
        </xdr:txBody>
      </xdr:sp>
      <xdr:sp macro="" textlink="">
        <xdr:nvSpPr>
          <xdr:cNvPr id="30" name="TextBox 29">
            <a:extLst>
              <a:ext uri="{FF2B5EF4-FFF2-40B4-BE49-F238E27FC236}">
                <a16:creationId xmlns:a16="http://schemas.microsoft.com/office/drawing/2014/main" id="{F134EABF-7419-454C-9C30-04C2DA36707D}"/>
              </a:ext>
            </a:extLst>
          </xdr:cNvPr>
          <xdr:cNvSpPr txBox="1"/>
        </xdr:nvSpPr>
        <xdr:spPr>
          <a:xfrm>
            <a:off x="14683574" y="11182017"/>
            <a:ext cx="3202737" cy="340178"/>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AU" sz="900"/>
          </a:p>
        </xdr:txBody>
      </xdr:sp>
      <xdr:sp macro="" textlink="">
        <xdr:nvSpPr>
          <xdr:cNvPr id="37" name="TextBox 36">
            <a:extLst>
              <a:ext uri="{FF2B5EF4-FFF2-40B4-BE49-F238E27FC236}">
                <a16:creationId xmlns:a16="http://schemas.microsoft.com/office/drawing/2014/main" id="{1F83E06C-5055-4BA1-B1E4-C4455FEEE544}"/>
              </a:ext>
            </a:extLst>
          </xdr:cNvPr>
          <xdr:cNvSpPr txBox="1"/>
        </xdr:nvSpPr>
        <xdr:spPr>
          <a:xfrm>
            <a:off x="14683574" y="11526228"/>
            <a:ext cx="3202737" cy="325269"/>
          </a:xfrm>
          <a:prstGeom prst="rect">
            <a:avLst/>
          </a:prstGeom>
          <a:solidFill>
            <a:schemeClr val="lt1"/>
          </a:solidFill>
          <a:ln w="9525" cmpd="sng">
            <a:solidFill>
              <a:schemeClr val="bg1">
                <a:lumMod val="9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AU" sz="900"/>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18</xdr:col>
      <xdr:colOff>88900</xdr:colOff>
      <xdr:row>23</xdr:row>
      <xdr:rowOff>135003</xdr:rowOff>
    </xdr:from>
    <xdr:to>
      <xdr:col>19</xdr:col>
      <xdr:colOff>450850</xdr:colOff>
      <xdr:row>28</xdr:row>
      <xdr:rowOff>177800</xdr:rowOff>
    </xdr:to>
    <xdr:sp macro="" textlink="">
      <xdr:nvSpPr>
        <xdr:cNvPr id="2" name="Arrow: Right 1">
          <a:extLst>
            <a:ext uri="{FF2B5EF4-FFF2-40B4-BE49-F238E27FC236}">
              <a16:creationId xmlns:a16="http://schemas.microsoft.com/office/drawing/2014/main" id="{00000000-0008-0000-0300-000002000000}"/>
            </a:ext>
          </a:extLst>
        </xdr:cNvPr>
        <xdr:cNvSpPr/>
      </xdr:nvSpPr>
      <xdr:spPr>
        <a:xfrm>
          <a:off x="15367000" y="4630803"/>
          <a:ext cx="984250" cy="1033397"/>
        </a:xfrm>
        <a:prstGeom prst="rightArrow">
          <a:avLst/>
        </a:prstGeom>
        <a:noFill/>
        <a:ln>
          <a:solidFill>
            <a:schemeClr val="tx1">
              <a:lumMod val="75000"/>
              <a:lumOff val="2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endParaRPr lang="en-AU" sz="1200">
            <a:solidFill>
              <a:schemeClr val="bg1"/>
            </a:solidFill>
            <a:latin typeface="+mn-lt"/>
            <a:ea typeface="+mn-ea"/>
            <a:cs typeface="+mn-cs"/>
          </a:endParaRPr>
        </a:p>
      </xdr:txBody>
    </xdr:sp>
    <xdr:clientData/>
  </xdr:twoCellAnchor>
  <xdr:twoCellAnchor>
    <xdr:from>
      <xdr:col>8</xdr:col>
      <xdr:colOff>97788</xdr:colOff>
      <xdr:row>23</xdr:row>
      <xdr:rowOff>133733</xdr:rowOff>
    </xdr:from>
    <xdr:to>
      <xdr:col>9</xdr:col>
      <xdr:colOff>459738</xdr:colOff>
      <xdr:row>28</xdr:row>
      <xdr:rowOff>176530</xdr:rowOff>
    </xdr:to>
    <xdr:sp macro="" textlink="">
      <xdr:nvSpPr>
        <xdr:cNvPr id="3" name="Arrow: Right 2">
          <a:extLst>
            <a:ext uri="{FF2B5EF4-FFF2-40B4-BE49-F238E27FC236}">
              <a16:creationId xmlns:a16="http://schemas.microsoft.com/office/drawing/2014/main" id="{00000000-0008-0000-0300-000003000000}"/>
            </a:ext>
          </a:extLst>
        </xdr:cNvPr>
        <xdr:cNvSpPr/>
      </xdr:nvSpPr>
      <xdr:spPr>
        <a:xfrm>
          <a:off x="6225538" y="4629533"/>
          <a:ext cx="984250" cy="1033397"/>
        </a:xfrm>
        <a:prstGeom prst="rightArrow">
          <a:avLst/>
        </a:prstGeom>
        <a:noFill/>
        <a:ln>
          <a:solidFill>
            <a:schemeClr val="tx1">
              <a:lumMod val="75000"/>
              <a:lumOff val="2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endParaRPr lang="en-AU" sz="1200">
            <a:solidFill>
              <a:schemeClr val="bg1"/>
            </a:solidFill>
            <a:latin typeface="+mn-lt"/>
            <a:ea typeface="+mn-ea"/>
            <a:cs typeface="+mn-cs"/>
          </a:endParaRPr>
        </a:p>
      </xdr:txBody>
    </xdr:sp>
    <xdr:clientData/>
  </xdr:twoCellAnchor>
  <xdr:twoCellAnchor>
    <xdr:from>
      <xdr:col>3</xdr:col>
      <xdr:colOff>24728</xdr:colOff>
      <xdr:row>9</xdr:row>
      <xdr:rowOff>149411</xdr:rowOff>
    </xdr:from>
    <xdr:to>
      <xdr:col>5</xdr:col>
      <xdr:colOff>598768</xdr:colOff>
      <xdr:row>15</xdr:row>
      <xdr:rowOff>53788</xdr:rowOff>
    </xdr:to>
    <xdr:sp macro="" textlink="">
      <xdr:nvSpPr>
        <xdr:cNvPr id="39" name="TextBox 3">
          <a:extLst>
            <a:ext uri="{FF2B5EF4-FFF2-40B4-BE49-F238E27FC236}">
              <a16:creationId xmlns:a16="http://schemas.microsoft.com/office/drawing/2014/main" id="{00000000-0008-0000-0300-000004000000}"/>
            </a:ext>
          </a:extLst>
        </xdr:cNvPr>
        <xdr:cNvSpPr txBox="1"/>
      </xdr:nvSpPr>
      <xdr:spPr>
        <a:xfrm>
          <a:off x="983578" y="1965511"/>
          <a:ext cx="4574540" cy="1047377"/>
        </a:xfrm>
        <a:prstGeom prst="round2DiagRect">
          <a:avLst/>
        </a:prstGeom>
        <a:solidFill>
          <a:schemeClr val="bg1"/>
        </a:solidFill>
        <a:ln w="3175" cmpd="sng">
          <a:solidFill>
            <a:schemeClr val="bg1">
              <a:lumMod val="95000"/>
            </a:schemeClr>
          </a:solidFill>
        </a:ln>
        <a:effectLst>
          <a:glow rad="101600">
            <a:schemeClr val="bg1">
              <a:lumMod val="95000"/>
              <a:alpha val="60000"/>
            </a:scheme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050" i="1"/>
            <a:t>A structured approach for routinely assessing the business continuity of existing applications, and facilitating the design of new applications.</a:t>
          </a:r>
        </a:p>
        <a:p>
          <a:endParaRPr lang="en-AU" sz="1050" i="1"/>
        </a:p>
        <a:p>
          <a:r>
            <a:rPr lang="en-AU" sz="1050" i="1"/>
            <a:t>Predefined</a:t>
          </a:r>
          <a:r>
            <a:rPr lang="en-AU" sz="1050" i="1" baseline="0"/>
            <a:t> standards and practices can improve BCDR governance, and lead to more consistent application and business continuity planning.</a:t>
          </a:r>
          <a:endParaRPr lang="en-AU" sz="1050" i="1"/>
        </a:p>
      </xdr:txBody>
    </xdr:sp>
    <xdr:clientData/>
  </xdr:twoCellAnchor>
  <xdr:twoCellAnchor>
    <xdr:from>
      <xdr:col>1</xdr:col>
      <xdr:colOff>56185</xdr:colOff>
      <xdr:row>51</xdr:row>
      <xdr:rowOff>12897</xdr:rowOff>
    </xdr:from>
    <xdr:to>
      <xdr:col>1</xdr:col>
      <xdr:colOff>214934</xdr:colOff>
      <xdr:row>51</xdr:row>
      <xdr:rowOff>171054</xdr:rowOff>
    </xdr:to>
    <xdr:pic>
      <xdr:nvPicPr>
        <xdr:cNvPr id="125" name="Graphic 19" descr="Home with solid fill">
          <a:hlinkClick xmlns:r="http://schemas.openxmlformats.org/officeDocument/2006/relationships" r:id="rId1"/>
          <a:extLst>
            <a:ext uri="{FF2B5EF4-FFF2-40B4-BE49-F238E27FC236}">
              <a16:creationId xmlns:a16="http://schemas.microsoft.com/office/drawing/2014/main" id="{E1A6F961-526D-4B97-87FD-D0F5DB8811C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468935" y="10534847"/>
          <a:ext cx="158749" cy="158157"/>
        </a:xfrm>
        <a:prstGeom prst="rect">
          <a:avLst/>
        </a:prstGeom>
        <a:effectLst>
          <a:glow rad="63500">
            <a:srgbClr val="F25022">
              <a:alpha val="40000"/>
            </a:srgbClr>
          </a:glow>
        </a:effectLst>
      </xdr:spPr>
    </xdr:pic>
    <xdr:clientData/>
  </xdr:twoCellAnchor>
  <xdr:twoCellAnchor>
    <xdr:from>
      <xdr:col>1</xdr:col>
      <xdr:colOff>63559</xdr:colOff>
      <xdr:row>52</xdr:row>
      <xdr:rowOff>21702</xdr:rowOff>
    </xdr:from>
    <xdr:to>
      <xdr:col>1</xdr:col>
      <xdr:colOff>207559</xdr:colOff>
      <xdr:row>53</xdr:row>
      <xdr:rowOff>2302</xdr:rowOff>
    </xdr:to>
    <xdr:pic>
      <xdr:nvPicPr>
        <xdr:cNvPr id="126" name="Graphic 20" descr="User outline">
          <a:hlinkClick xmlns:r="http://schemas.openxmlformats.org/officeDocument/2006/relationships" r:id="rId4"/>
          <a:extLst>
            <a:ext uri="{FF2B5EF4-FFF2-40B4-BE49-F238E27FC236}">
              <a16:creationId xmlns:a16="http://schemas.microsoft.com/office/drawing/2014/main" id="{94257261-7956-49A4-B08F-0ECDBE86DCDA}"/>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476309" y="10721452"/>
          <a:ext cx="144000" cy="158400"/>
        </a:xfrm>
        <a:prstGeom prst="rect">
          <a:avLst/>
        </a:prstGeom>
        <a:effectLst>
          <a:glow rad="101600">
            <a:srgbClr val="7FBA00">
              <a:alpha val="60000"/>
            </a:srgbClr>
          </a:glow>
        </a:effectLst>
      </xdr:spPr>
    </xdr:pic>
    <xdr:clientData/>
  </xdr:twoCellAnchor>
  <xdr:twoCellAnchor>
    <xdr:from>
      <xdr:col>1</xdr:col>
      <xdr:colOff>81559</xdr:colOff>
      <xdr:row>53</xdr:row>
      <xdr:rowOff>37100</xdr:rowOff>
    </xdr:from>
    <xdr:to>
      <xdr:col>1</xdr:col>
      <xdr:colOff>189559</xdr:colOff>
      <xdr:row>53</xdr:row>
      <xdr:rowOff>145100</xdr:rowOff>
    </xdr:to>
    <xdr:sp macro="" textlink="">
      <xdr:nvSpPr>
        <xdr:cNvPr id="127" name="Oval 21">
          <a:hlinkClick xmlns:r="http://schemas.openxmlformats.org/officeDocument/2006/relationships" r:id="rId7"/>
          <a:extLst>
            <a:ext uri="{FF2B5EF4-FFF2-40B4-BE49-F238E27FC236}">
              <a16:creationId xmlns:a16="http://schemas.microsoft.com/office/drawing/2014/main" id="{DACF7579-A9DA-4168-B38C-4AADDF8C4AE3}"/>
            </a:ext>
          </a:extLst>
        </xdr:cNvPr>
        <xdr:cNvSpPr/>
      </xdr:nvSpPr>
      <xdr:spPr>
        <a:xfrm>
          <a:off x="494309" y="10914650"/>
          <a:ext cx="108000" cy="108000"/>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900">
              <a:solidFill>
                <a:srgbClr val="00A4EF"/>
              </a:solidFill>
            </a:rPr>
            <a:t>g</a:t>
          </a:r>
        </a:p>
      </xdr:txBody>
    </xdr:sp>
    <xdr:clientData/>
  </xdr:twoCellAnchor>
  <xdr:twoCellAnchor>
    <xdr:from>
      <xdr:col>1</xdr:col>
      <xdr:colOff>81559</xdr:colOff>
      <xdr:row>54</xdr:row>
      <xdr:rowOff>38098</xdr:rowOff>
    </xdr:from>
    <xdr:to>
      <xdr:col>1</xdr:col>
      <xdr:colOff>189559</xdr:colOff>
      <xdr:row>54</xdr:row>
      <xdr:rowOff>146098</xdr:rowOff>
    </xdr:to>
    <xdr:sp macro="" textlink="">
      <xdr:nvSpPr>
        <xdr:cNvPr id="128" name="Oval 22">
          <a:hlinkClick xmlns:r="http://schemas.openxmlformats.org/officeDocument/2006/relationships" r:id="rId8"/>
          <a:extLst>
            <a:ext uri="{FF2B5EF4-FFF2-40B4-BE49-F238E27FC236}">
              <a16:creationId xmlns:a16="http://schemas.microsoft.com/office/drawing/2014/main" id="{755112A5-CD4E-486F-BCA9-A36F12E714C2}"/>
            </a:ext>
          </a:extLst>
        </xdr:cNvPr>
        <xdr:cNvSpPr/>
      </xdr:nvSpPr>
      <xdr:spPr>
        <a:xfrm>
          <a:off x="494309" y="11093448"/>
          <a:ext cx="108000" cy="108000"/>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19</xdr:col>
      <xdr:colOff>2242255</xdr:colOff>
      <xdr:row>6</xdr:row>
      <xdr:rowOff>92569</xdr:rowOff>
    </xdr:from>
    <xdr:to>
      <xdr:col>19</xdr:col>
      <xdr:colOff>3559469</xdr:colOff>
      <xdr:row>14</xdr:row>
      <xdr:rowOff>79910</xdr:rowOff>
    </xdr:to>
    <xdr:pic>
      <xdr:nvPicPr>
        <xdr:cNvPr id="3" name="Picture 2">
          <a:extLst>
            <a:ext uri="{FF2B5EF4-FFF2-40B4-BE49-F238E27FC236}">
              <a16:creationId xmlns:a16="http://schemas.microsoft.com/office/drawing/2014/main" id="{2DFC3099-CFD6-4109-9B85-613F27E1ED7C}"/>
            </a:ext>
          </a:extLst>
        </xdr:cNvPr>
        <xdr:cNvPicPr>
          <a:picLocks noChangeAspect="1"/>
        </xdr:cNvPicPr>
      </xdr:nvPicPr>
      <xdr:blipFill>
        <a:blip xmlns:r="http://schemas.openxmlformats.org/officeDocument/2006/relationships" r:embed="rId1"/>
        <a:stretch>
          <a:fillRect/>
        </a:stretch>
      </xdr:blipFill>
      <xdr:spPr>
        <a:xfrm>
          <a:off x="25262275" y="1321929"/>
          <a:ext cx="1411194" cy="14630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291353</xdr:colOff>
      <xdr:row>6</xdr:row>
      <xdr:rowOff>156883</xdr:rowOff>
    </xdr:from>
    <xdr:to>
      <xdr:col>13</xdr:col>
      <xdr:colOff>420263</xdr:colOff>
      <xdr:row>35</xdr:row>
      <xdr:rowOff>156160</xdr:rowOff>
    </xdr:to>
    <xdr:pic>
      <xdr:nvPicPr>
        <xdr:cNvPr id="5" name="Picture 4">
          <a:extLst>
            <a:ext uri="{FF2B5EF4-FFF2-40B4-BE49-F238E27FC236}">
              <a16:creationId xmlns:a16="http://schemas.microsoft.com/office/drawing/2014/main" id="{5C727A6A-AD65-40CB-BAC9-8DFAD8DAC04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688294" y="1404471"/>
          <a:ext cx="9496879" cy="5419264"/>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13</xdr:col>
      <xdr:colOff>807944</xdr:colOff>
      <xdr:row>6</xdr:row>
      <xdr:rowOff>143210</xdr:rowOff>
    </xdr:from>
    <xdr:to>
      <xdr:col>16</xdr:col>
      <xdr:colOff>1143000</xdr:colOff>
      <xdr:row>35</xdr:row>
      <xdr:rowOff>171822</xdr:rowOff>
    </xdr:to>
    <xdr:sp macro="" textlink="">
      <xdr:nvSpPr>
        <xdr:cNvPr id="6" name="TextBox 5">
          <a:extLst>
            <a:ext uri="{FF2B5EF4-FFF2-40B4-BE49-F238E27FC236}">
              <a16:creationId xmlns:a16="http://schemas.microsoft.com/office/drawing/2014/main" id="{1E6960D0-DB2F-400A-B67F-D419ED818DEF}"/>
            </a:ext>
          </a:extLst>
        </xdr:cNvPr>
        <xdr:cNvSpPr txBox="1"/>
      </xdr:nvSpPr>
      <xdr:spPr>
        <a:xfrm>
          <a:off x="18580473" y="1390798"/>
          <a:ext cx="5265645" cy="5444789"/>
        </a:xfrm>
        <a:prstGeom prst="round2DiagRect">
          <a:avLst/>
        </a:prstGeom>
        <a:solidFill>
          <a:schemeClr val="bg1"/>
        </a:solidFill>
        <a:ln w="3175" cmpd="sng">
          <a:solidFill>
            <a:schemeClr val="bg1">
              <a:lumMod val="95000"/>
            </a:schemeClr>
          </a:solidFill>
        </a:ln>
        <a:effectLst>
          <a:glow rad="101600">
            <a:schemeClr val="bg1">
              <a:lumMod val="95000"/>
              <a:alpha val="60000"/>
            </a:scheme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100" b="1" i="0"/>
            <a:t>Remediation Summary</a:t>
          </a:r>
        </a:p>
        <a:p>
          <a:endParaRPr lang="en-AU" sz="1100" b="1" i="0"/>
        </a:p>
        <a:p>
          <a:r>
            <a:rPr lang="en-AU" sz="1100" b="1" i="0"/>
            <a:t>A</a:t>
          </a:r>
          <a:r>
            <a:rPr lang="en-AU" sz="1100" b="1" i="0" baseline="0">
              <a:solidFill>
                <a:schemeClr val="dk1"/>
              </a:solidFill>
              <a:effectLst/>
              <a:latin typeface="+mn-lt"/>
              <a:ea typeface="+mn-ea"/>
              <a:cs typeface="+mn-cs"/>
            </a:rPr>
            <a:t>vailability</a:t>
          </a:r>
        </a:p>
        <a:p>
          <a:pPr marL="0" marR="0" lvl="0" indent="0" defTabSz="914400" eaLnBrk="1" fontAlgn="auto" latinLnBrk="0" hangingPunct="1">
            <a:lnSpc>
              <a:spcPct val="100000"/>
            </a:lnSpc>
            <a:spcBef>
              <a:spcPts val="0"/>
            </a:spcBef>
            <a:spcAft>
              <a:spcPts val="0"/>
            </a:spcAft>
            <a:buClrTx/>
            <a:buSzTx/>
            <a:buFontTx/>
            <a:buNone/>
            <a:tabLst/>
            <a:defRPr/>
          </a:pPr>
          <a:r>
            <a:rPr lang="en-AU" sz="1100" i="0">
              <a:solidFill>
                <a:schemeClr val="dk1"/>
              </a:solidFill>
              <a:effectLst/>
              <a:latin typeface="+mn-lt"/>
              <a:ea typeface="+mn-ea"/>
              <a:cs typeface="+mn-cs"/>
            </a:rPr>
            <a:t>- Duplicate</a:t>
          </a:r>
          <a:r>
            <a:rPr lang="en-AU" sz="1100" i="0" baseline="0">
              <a:solidFill>
                <a:schemeClr val="dk1"/>
              </a:solidFill>
              <a:effectLst/>
              <a:latin typeface="+mn-lt"/>
              <a:ea typeface="+mn-ea"/>
              <a:cs typeface="+mn-cs"/>
            </a:rPr>
            <a:t> all components in the </a:t>
          </a:r>
          <a:r>
            <a:rPr lang="en-AU" sz="1100" i="0" baseline="0">
              <a:solidFill>
                <a:srgbClr val="F25022"/>
              </a:solidFill>
              <a:effectLst/>
              <a:latin typeface="+mn-lt"/>
              <a:ea typeface="+mn-ea"/>
              <a:cs typeface="+mn-cs"/>
            </a:rPr>
            <a:t>paired region</a:t>
          </a:r>
          <a:r>
            <a:rPr lang="en-AU" sz="1100" i="0" baseline="0">
              <a:solidFill>
                <a:schemeClr val="dk1"/>
              </a:solidFill>
              <a:effectLst/>
              <a:latin typeface="+mn-lt"/>
              <a:ea typeface="+mn-ea"/>
              <a:cs typeface="+mn-cs"/>
            </a:rPr>
            <a:t>.</a:t>
          </a:r>
          <a:endParaRPr lang="en-AU">
            <a:effectLst/>
          </a:endParaRPr>
        </a:p>
        <a:p>
          <a:r>
            <a:rPr lang="en-AU" sz="1100" i="0"/>
            <a:t>- Add </a:t>
          </a:r>
          <a:r>
            <a:rPr lang="en-AU" sz="1100" i="0">
              <a:solidFill>
                <a:srgbClr val="F25022"/>
              </a:solidFill>
            </a:rPr>
            <a:t>Azure Front Door </a:t>
          </a:r>
          <a:r>
            <a:rPr lang="en-AU" sz="1100" i="0"/>
            <a:t>and </a:t>
          </a:r>
          <a:r>
            <a:rPr lang="en-AU" sz="1100" i="0">
              <a:solidFill>
                <a:srgbClr val="F25022"/>
              </a:solidFill>
            </a:rPr>
            <a:t>Web Application Firewall</a:t>
          </a:r>
          <a:r>
            <a:rPr lang="en-AU" sz="1100" i="0"/>
            <a:t>.</a:t>
          </a:r>
        </a:p>
        <a:p>
          <a:r>
            <a:rPr lang="en-AU" sz="1100" b="0" i="0">
              <a:solidFill>
                <a:schemeClr val="dk1"/>
              </a:solidFill>
              <a:effectLst/>
              <a:latin typeface="+mn-lt"/>
              <a:ea typeface="+mn-ea"/>
              <a:cs typeface="+mn-cs"/>
            </a:rPr>
            <a:t>- Front Door sends all requests to the primary region unless the endpoint for that region becomes unreachable. At that point, it automatically fails over to the secondary region. Set the origin pool with different priority values, 1 for the active region and 2 or higher for the standby or passive region.</a:t>
          </a:r>
          <a:endParaRPr lang="en-AU" sz="1100" i="0"/>
        </a:p>
        <a:p>
          <a:r>
            <a:rPr lang="en-AU" sz="1100" i="0" baseline="0"/>
            <a:t>- Use Active geo-replication and auto-failover groups to make </a:t>
          </a:r>
          <a:r>
            <a:rPr lang="en-AU" sz="1100" i="0" baseline="0">
              <a:solidFill>
                <a:srgbClr val="F25022"/>
              </a:solidFill>
            </a:rPr>
            <a:t>SQL databases </a:t>
          </a:r>
          <a:r>
            <a:rPr lang="en-AU" sz="1100" i="0" baseline="0"/>
            <a:t>resilient.</a:t>
          </a:r>
        </a:p>
        <a:p>
          <a:r>
            <a:rPr lang="en-AU" sz="1100" i="0" baseline="0"/>
            <a:t>- Configure </a:t>
          </a:r>
          <a:r>
            <a:rPr lang="en-AU" sz="1100" b="0" i="0">
              <a:solidFill>
                <a:srgbClr val="F25022"/>
              </a:solidFill>
              <a:effectLst/>
              <a:latin typeface="+mn-lt"/>
              <a:ea typeface="+mn-ea"/>
              <a:cs typeface="+mn-cs"/>
            </a:rPr>
            <a:t>Azure Cosmos DB </a:t>
          </a:r>
          <a:r>
            <a:rPr lang="en-AU" sz="1100" b="0" i="0">
              <a:solidFill>
                <a:schemeClr val="dk1"/>
              </a:solidFill>
              <a:effectLst/>
              <a:latin typeface="+mn-lt"/>
              <a:ea typeface="+mn-ea"/>
              <a:cs typeface="+mn-cs"/>
            </a:rPr>
            <a:t>for geo-replication across regions in an passive pattern with one write and one read region. If there's a regional outage, fail over by selecting another region to be the write region. The client SDK automatically sends write requests to the current write region, so there is no need to update the client configuration after a failover.</a:t>
          </a:r>
        </a:p>
        <a:p>
          <a:r>
            <a:rPr lang="en-AU" sz="1100" b="0" i="0" baseline="0">
              <a:solidFill>
                <a:schemeClr val="dk1"/>
              </a:solidFill>
              <a:effectLst/>
              <a:latin typeface="+mn-lt"/>
              <a:ea typeface="+mn-ea"/>
              <a:cs typeface="+mn-cs"/>
            </a:rPr>
            <a:t>- Implement the </a:t>
          </a:r>
          <a:r>
            <a:rPr lang="en-AU" sz="1100" b="0" i="0" baseline="0">
              <a:solidFill>
                <a:srgbClr val="F25022"/>
              </a:solidFill>
              <a:effectLst/>
              <a:latin typeface="+mn-lt"/>
              <a:ea typeface="+mn-ea"/>
              <a:cs typeface="+mn-cs"/>
            </a:rPr>
            <a:t>Service Bus </a:t>
          </a:r>
          <a:r>
            <a:rPr lang="en-AU" sz="1100" b="0" i="0">
              <a:solidFill>
                <a:schemeClr val="dk1"/>
              </a:solidFill>
              <a:effectLst/>
              <a:latin typeface="+mn-lt"/>
              <a:ea typeface="+mn-ea"/>
              <a:cs typeface="+mn-cs"/>
            </a:rPr>
            <a:t>Geo-Disaster recovery feature to ensure that the entire configuration of the namespace (queues, topics, subscriptions, and filters) is continuously replicated from the primary namespace to a secondary namespace when paired.</a:t>
          </a:r>
          <a:endParaRPr lang="en-AU" sz="1100" i="0" baseline="0"/>
        </a:p>
        <a:p>
          <a:endParaRPr lang="en-AU" sz="1100" i="0" baseline="0"/>
        </a:p>
        <a:p>
          <a:r>
            <a:rPr lang="en-AU" sz="1100" b="1" i="0" baseline="0"/>
            <a:t>Recovery</a:t>
          </a:r>
        </a:p>
        <a:p>
          <a:r>
            <a:rPr lang="en-AU" sz="1100" i="0" baseline="0"/>
            <a:t>- Configure recovery to the paired region where possible. Implement restore capability within region.</a:t>
          </a:r>
          <a:endParaRPr lang="en-AU" sz="1100" i="0"/>
        </a:p>
      </xdr:txBody>
    </xdr:sp>
    <xdr:clientData/>
  </xdr:twoCellAnchor>
  <xdr:twoCellAnchor>
    <xdr:from>
      <xdr:col>3</xdr:col>
      <xdr:colOff>138654</xdr:colOff>
      <xdr:row>25</xdr:row>
      <xdr:rowOff>41610</xdr:rowOff>
    </xdr:from>
    <xdr:to>
      <xdr:col>6</xdr:col>
      <xdr:colOff>30480</xdr:colOff>
      <xdr:row>29</xdr:row>
      <xdr:rowOff>80010</xdr:rowOff>
    </xdr:to>
    <xdr:sp macro="" textlink="">
      <xdr:nvSpPr>
        <xdr:cNvPr id="4" name="TextBox 3">
          <a:extLst>
            <a:ext uri="{FF2B5EF4-FFF2-40B4-BE49-F238E27FC236}">
              <a16:creationId xmlns:a16="http://schemas.microsoft.com/office/drawing/2014/main" id="{99FDC410-C05C-1EBE-B461-E87E6D4E9C2D}"/>
            </a:ext>
          </a:extLst>
        </xdr:cNvPr>
        <xdr:cNvSpPr txBox="1"/>
      </xdr:nvSpPr>
      <xdr:spPr>
        <a:xfrm>
          <a:off x="1186404" y="4772360"/>
          <a:ext cx="5619526" cy="775000"/>
        </a:xfrm>
        <a:prstGeom prst="round2DiagRect">
          <a:avLst/>
        </a:prstGeom>
        <a:solidFill>
          <a:schemeClr val="bg1"/>
        </a:solidFill>
        <a:ln w="3175" cmpd="sng">
          <a:solidFill>
            <a:schemeClr val="bg1">
              <a:lumMod val="95000"/>
            </a:schemeClr>
          </a:solidFill>
        </a:ln>
        <a:effectLst>
          <a:glow rad="101600">
            <a:schemeClr val="bg1">
              <a:lumMod val="95000"/>
              <a:alpha val="60000"/>
            </a:scheme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100" i="0"/>
            <a:t>In</a:t>
          </a:r>
          <a:r>
            <a:rPr lang="en-AU" sz="1100" i="0" baseline="0"/>
            <a:t> this example Contoso made the decision to provide optimal resilience at the application level. A change to resilience at the business function level may be considered in the future, should cost reduction or recovery simplification be required.</a:t>
          </a:r>
          <a:endParaRPr lang="en-AU" sz="1100" i="0"/>
        </a:p>
      </xdr:txBody>
    </xdr:sp>
    <xdr:clientData/>
  </xdr:twoCellAnchor>
  <xdr:twoCellAnchor>
    <xdr:from>
      <xdr:col>0</xdr:col>
      <xdr:colOff>52294</xdr:colOff>
      <xdr:row>0</xdr:row>
      <xdr:rowOff>52294</xdr:rowOff>
    </xdr:from>
    <xdr:to>
      <xdr:col>1</xdr:col>
      <xdr:colOff>295545</xdr:colOff>
      <xdr:row>3</xdr:row>
      <xdr:rowOff>58826</xdr:rowOff>
    </xdr:to>
    <xdr:grpSp>
      <xdr:nvGrpSpPr>
        <xdr:cNvPr id="16" name="Group 9">
          <a:extLst>
            <a:ext uri="{FF2B5EF4-FFF2-40B4-BE49-F238E27FC236}">
              <a16:creationId xmlns:a16="http://schemas.microsoft.com/office/drawing/2014/main" id="{E223C59A-0D55-4A08-A8D5-A48755CC6D7E}"/>
            </a:ext>
          </a:extLst>
        </xdr:cNvPr>
        <xdr:cNvGrpSpPr/>
      </xdr:nvGrpSpPr>
      <xdr:grpSpPr>
        <a:xfrm>
          <a:off x="52294" y="52294"/>
          <a:ext cx="633776" cy="635182"/>
          <a:chOff x="8756769" y="4362234"/>
          <a:chExt cx="648000" cy="651646"/>
        </a:xfrm>
      </xdr:grpSpPr>
      <xdr:sp macro="" textlink="">
        <xdr:nvSpPr>
          <xdr:cNvPr id="17" name="Rectangle 10">
            <a:extLst>
              <a:ext uri="{FF2B5EF4-FFF2-40B4-BE49-F238E27FC236}">
                <a16:creationId xmlns:a16="http://schemas.microsoft.com/office/drawing/2014/main" id="{40FC916F-E1EE-E989-99DF-5DFEBEE93E10}"/>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8" name="Oval 11">
            <a:hlinkClick xmlns:r="http://schemas.openxmlformats.org/officeDocument/2006/relationships" r:id="rId3"/>
            <a:extLst>
              <a:ext uri="{FF2B5EF4-FFF2-40B4-BE49-F238E27FC236}">
                <a16:creationId xmlns:a16="http://schemas.microsoft.com/office/drawing/2014/main" id="{90D9E7D2-5176-DCA6-A2A9-7531CD657FD2}"/>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9" name="Oval 12">
            <a:hlinkClick xmlns:r="http://schemas.openxmlformats.org/officeDocument/2006/relationships" r:id="rId4"/>
            <a:extLst>
              <a:ext uri="{FF2B5EF4-FFF2-40B4-BE49-F238E27FC236}">
                <a16:creationId xmlns:a16="http://schemas.microsoft.com/office/drawing/2014/main" id="{4938DEDB-0A2E-7661-F50A-4DFC9857FDFC}"/>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20" name="Graphic 13" descr="Home with solid fill">
            <a:hlinkClick xmlns:r="http://schemas.openxmlformats.org/officeDocument/2006/relationships" r:id="rId5"/>
            <a:extLst>
              <a:ext uri="{FF2B5EF4-FFF2-40B4-BE49-F238E27FC236}">
                <a16:creationId xmlns:a16="http://schemas.microsoft.com/office/drawing/2014/main" id="{6DA01A9E-B303-E00B-7D3E-6EE4C568003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21" name="Graphic 14" descr="User outline">
            <a:hlinkClick xmlns:r="http://schemas.openxmlformats.org/officeDocument/2006/relationships" r:id="rId8"/>
            <a:extLst>
              <a:ext uri="{FF2B5EF4-FFF2-40B4-BE49-F238E27FC236}">
                <a16:creationId xmlns:a16="http://schemas.microsoft.com/office/drawing/2014/main" id="{5B8CC79E-857A-68E2-F517-6178DC85265D}"/>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21.xml><?xml version="1.0" encoding="utf-8"?>
<xdr:wsDr xmlns:xdr="http://schemas.openxmlformats.org/drawingml/2006/spreadsheetDrawing" xmlns:a="http://schemas.openxmlformats.org/drawingml/2006/main">
  <xdr:twoCellAnchor editAs="oneCell">
    <xdr:from>
      <xdr:col>14</xdr:col>
      <xdr:colOff>246454</xdr:colOff>
      <xdr:row>4</xdr:row>
      <xdr:rowOff>145005</xdr:rowOff>
    </xdr:from>
    <xdr:to>
      <xdr:col>16</xdr:col>
      <xdr:colOff>339538</xdr:colOff>
      <xdr:row>12</xdr:row>
      <xdr:rowOff>148856</xdr:rowOff>
    </xdr:to>
    <xdr:pic>
      <xdr:nvPicPr>
        <xdr:cNvPr id="2" name="Picture 1">
          <a:extLst>
            <a:ext uri="{FF2B5EF4-FFF2-40B4-BE49-F238E27FC236}">
              <a16:creationId xmlns:a16="http://schemas.microsoft.com/office/drawing/2014/main" id="{0E585A9C-F96D-4456-8AC2-8E68C1A2BCFC}"/>
            </a:ext>
          </a:extLst>
        </xdr:cNvPr>
        <xdr:cNvPicPr>
          <a:picLocks noChangeAspect="1"/>
        </xdr:cNvPicPr>
      </xdr:nvPicPr>
      <xdr:blipFill>
        <a:blip xmlns:r="http://schemas.openxmlformats.org/officeDocument/2006/relationships" r:embed="rId1"/>
        <a:stretch>
          <a:fillRect/>
        </a:stretch>
      </xdr:blipFill>
      <xdr:spPr>
        <a:xfrm>
          <a:off x="20744254" y="964155"/>
          <a:ext cx="1387214" cy="146435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81643</xdr:colOff>
      <xdr:row>0</xdr:row>
      <xdr:rowOff>90714</xdr:rowOff>
    </xdr:from>
    <xdr:to>
      <xdr:col>1</xdr:col>
      <xdr:colOff>320092</xdr:colOff>
      <xdr:row>3</xdr:row>
      <xdr:rowOff>113788</xdr:rowOff>
    </xdr:to>
    <xdr:grpSp>
      <xdr:nvGrpSpPr>
        <xdr:cNvPr id="13" name="Group 2">
          <a:extLst>
            <a:ext uri="{FF2B5EF4-FFF2-40B4-BE49-F238E27FC236}">
              <a16:creationId xmlns:a16="http://schemas.microsoft.com/office/drawing/2014/main" id="{3C2A5706-FF4E-4719-BD47-7B09E59E9234}"/>
            </a:ext>
          </a:extLst>
        </xdr:cNvPr>
        <xdr:cNvGrpSpPr/>
      </xdr:nvGrpSpPr>
      <xdr:grpSpPr>
        <a:xfrm>
          <a:off x="81643" y="90714"/>
          <a:ext cx="628974" cy="651724"/>
          <a:chOff x="8756769" y="4362234"/>
          <a:chExt cx="648000" cy="651646"/>
        </a:xfrm>
      </xdr:grpSpPr>
      <xdr:sp macro="" textlink="">
        <xdr:nvSpPr>
          <xdr:cNvPr id="14" name="Rectangle 7">
            <a:extLst>
              <a:ext uri="{FF2B5EF4-FFF2-40B4-BE49-F238E27FC236}">
                <a16:creationId xmlns:a16="http://schemas.microsoft.com/office/drawing/2014/main" id="{A3F63590-2CCF-2808-F3B9-F74C5FF72832}"/>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AEB8D374-463E-2507-1B43-629E80BCCEC7}"/>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3"/>
            <a:extLst>
              <a:ext uri="{FF2B5EF4-FFF2-40B4-BE49-F238E27FC236}">
                <a16:creationId xmlns:a16="http://schemas.microsoft.com/office/drawing/2014/main" id="{B1A9EF9C-D8B9-07B7-BCA0-EEDB4F97C15D}"/>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4"/>
            <a:extLst>
              <a:ext uri="{FF2B5EF4-FFF2-40B4-BE49-F238E27FC236}">
                <a16:creationId xmlns:a16="http://schemas.microsoft.com/office/drawing/2014/main" id="{30B9AB25-64E3-133F-BD3B-934BB2DCBC0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7"/>
            <a:extLst>
              <a:ext uri="{FF2B5EF4-FFF2-40B4-BE49-F238E27FC236}">
                <a16:creationId xmlns:a16="http://schemas.microsoft.com/office/drawing/2014/main" id="{6C4996BC-1A25-8265-9486-E19CE1D2D181}"/>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22.xml><?xml version="1.0" encoding="utf-8"?>
<xdr:wsDr xmlns:xdr="http://schemas.openxmlformats.org/drawingml/2006/spreadsheetDrawing" xmlns:a="http://schemas.openxmlformats.org/drawingml/2006/main">
  <xdr:twoCellAnchor editAs="oneCell">
    <xdr:from>
      <xdr:col>15</xdr:col>
      <xdr:colOff>1382059</xdr:colOff>
      <xdr:row>4</xdr:row>
      <xdr:rowOff>149412</xdr:rowOff>
    </xdr:from>
    <xdr:to>
      <xdr:col>17</xdr:col>
      <xdr:colOff>416859</xdr:colOff>
      <xdr:row>12</xdr:row>
      <xdr:rowOff>149453</xdr:rowOff>
    </xdr:to>
    <xdr:pic>
      <xdr:nvPicPr>
        <xdr:cNvPr id="2" name="Picture 1">
          <a:extLst>
            <a:ext uri="{FF2B5EF4-FFF2-40B4-BE49-F238E27FC236}">
              <a16:creationId xmlns:a16="http://schemas.microsoft.com/office/drawing/2014/main" id="{AF3F2D82-9889-4E4B-A53C-EDD64914D89B}"/>
            </a:ext>
          </a:extLst>
        </xdr:cNvPr>
        <xdr:cNvPicPr>
          <a:picLocks noChangeAspect="1"/>
        </xdr:cNvPicPr>
      </xdr:nvPicPr>
      <xdr:blipFill>
        <a:blip xmlns:r="http://schemas.openxmlformats.org/officeDocument/2006/relationships" r:embed="rId1"/>
        <a:stretch>
          <a:fillRect/>
        </a:stretch>
      </xdr:blipFill>
      <xdr:spPr>
        <a:xfrm>
          <a:off x="20334941" y="978647"/>
          <a:ext cx="1395506" cy="149034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74706</xdr:colOff>
      <xdr:row>0</xdr:row>
      <xdr:rowOff>67236</xdr:rowOff>
    </xdr:from>
    <xdr:to>
      <xdr:col>1</xdr:col>
      <xdr:colOff>317957</xdr:colOff>
      <xdr:row>3</xdr:row>
      <xdr:rowOff>73768</xdr:rowOff>
    </xdr:to>
    <xdr:grpSp>
      <xdr:nvGrpSpPr>
        <xdr:cNvPr id="13" name="Group 2">
          <a:extLst>
            <a:ext uri="{FF2B5EF4-FFF2-40B4-BE49-F238E27FC236}">
              <a16:creationId xmlns:a16="http://schemas.microsoft.com/office/drawing/2014/main" id="{50E9EE3E-BC49-4E3C-85DA-AEA7E12D4338}"/>
            </a:ext>
          </a:extLst>
        </xdr:cNvPr>
        <xdr:cNvGrpSpPr/>
      </xdr:nvGrpSpPr>
      <xdr:grpSpPr>
        <a:xfrm>
          <a:off x="74706" y="67236"/>
          <a:ext cx="633776" cy="635182"/>
          <a:chOff x="8756769" y="4362234"/>
          <a:chExt cx="648000" cy="651646"/>
        </a:xfrm>
      </xdr:grpSpPr>
      <xdr:sp macro="" textlink="">
        <xdr:nvSpPr>
          <xdr:cNvPr id="14" name="Rectangle 7">
            <a:extLst>
              <a:ext uri="{FF2B5EF4-FFF2-40B4-BE49-F238E27FC236}">
                <a16:creationId xmlns:a16="http://schemas.microsoft.com/office/drawing/2014/main" id="{6528DD58-19CD-4209-FD46-B2A5E97B8BE5}"/>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E539714F-5E28-482C-0CCD-8C519853417B}"/>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3"/>
            <a:extLst>
              <a:ext uri="{FF2B5EF4-FFF2-40B4-BE49-F238E27FC236}">
                <a16:creationId xmlns:a16="http://schemas.microsoft.com/office/drawing/2014/main" id="{970FD1B0-E2FE-4EC3-98A2-0930408566EC}"/>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4"/>
            <a:extLst>
              <a:ext uri="{FF2B5EF4-FFF2-40B4-BE49-F238E27FC236}">
                <a16:creationId xmlns:a16="http://schemas.microsoft.com/office/drawing/2014/main" id="{0A5BB497-C3D4-8F5C-9FA8-F1B832AA7A6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7"/>
            <a:extLst>
              <a:ext uri="{FF2B5EF4-FFF2-40B4-BE49-F238E27FC236}">
                <a16:creationId xmlns:a16="http://schemas.microsoft.com/office/drawing/2014/main" id="{81EC3159-7452-F315-7452-2A9AECA205B3}"/>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0</xdr:colOff>
      <xdr:row>19</xdr:row>
      <xdr:rowOff>0</xdr:rowOff>
    </xdr:from>
    <xdr:to>
      <xdr:col>3</xdr:col>
      <xdr:colOff>304800</xdr:colOff>
      <xdr:row>20</xdr:row>
      <xdr:rowOff>116842</xdr:rowOff>
    </xdr:to>
    <xdr:sp macro="" textlink="">
      <xdr:nvSpPr>
        <xdr:cNvPr id="3" name="AutoShape 9" descr="Diagram showing the reference architecture for a web application with high availability.">
          <a:extLst>
            <a:ext uri="{FF2B5EF4-FFF2-40B4-BE49-F238E27FC236}">
              <a16:creationId xmlns:a16="http://schemas.microsoft.com/office/drawing/2014/main" id="{00000000-0008-0000-1600-000003000000}"/>
            </a:ext>
          </a:extLst>
        </xdr:cNvPr>
        <xdr:cNvSpPr>
          <a:spLocks noChangeAspect="1" noChangeArrowheads="1"/>
        </xdr:cNvSpPr>
      </xdr:nvSpPr>
      <xdr:spPr bwMode="auto">
        <a:xfrm>
          <a:off x="222250" y="1003300"/>
          <a:ext cx="304800" cy="30099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880</xdr:colOff>
      <xdr:row>23</xdr:row>
      <xdr:rowOff>49389</xdr:rowOff>
    </xdr:from>
    <xdr:to>
      <xdr:col>10</xdr:col>
      <xdr:colOff>938</xdr:colOff>
      <xdr:row>100</xdr:row>
      <xdr:rowOff>79349</xdr:rowOff>
    </xdr:to>
    <xdr:pic>
      <xdr:nvPicPr>
        <xdr:cNvPr id="7" name="Picture 6">
          <a:extLst>
            <a:ext uri="{FF2B5EF4-FFF2-40B4-BE49-F238E27FC236}">
              <a16:creationId xmlns:a16="http://schemas.microsoft.com/office/drawing/2014/main" id="{24A4A8FA-B8A6-1786-B4E4-CA371C6704C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1936" y="1785056"/>
          <a:ext cx="25039661" cy="14155183"/>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xdr:col>
      <xdr:colOff>217309</xdr:colOff>
      <xdr:row>24</xdr:row>
      <xdr:rowOff>180941</xdr:rowOff>
    </xdr:from>
    <xdr:to>
      <xdr:col>5</xdr:col>
      <xdr:colOff>2976175</xdr:colOff>
      <xdr:row>31</xdr:row>
      <xdr:rowOff>77612</xdr:rowOff>
    </xdr:to>
    <xdr:sp macro="" textlink="">
      <xdr:nvSpPr>
        <xdr:cNvPr id="5" name="TextBox 4">
          <a:extLst>
            <a:ext uri="{FF2B5EF4-FFF2-40B4-BE49-F238E27FC236}">
              <a16:creationId xmlns:a16="http://schemas.microsoft.com/office/drawing/2014/main" id="{CCCBF83A-67F7-4110-A6E9-BFA9C593A8FF}"/>
            </a:ext>
          </a:extLst>
        </xdr:cNvPr>
        <xdr:cNvSpPr txBox="1"/>
      </xdr:nvSpPr>
      <xdr:spPr>
        <a:xfrm>
          <a:off x="478365" y="4484830"/>
          <a:ext cx="10781032" cy="1180782"/>
        </a:xfrm>
        <a:prstGeom prst="round2DiagRect">
          <a:avLst/>
        </a:prstGeom>
        <a:solidFill>
          <a:schemeClr val="bg1"/>
        </a:solidFill>
        <a:ln w="3175" cmpd="sng">
          <a:solidFill>
            <a:schemeClr val="bg1">
              <a:lumMod val="95000"/>
            </a:schemeClr>
          </a:solidFill>
        </a:ln>
        <a:effectLst>
          <a:glow rad="101600">
            <a:schemeClr val="bg1">
              <a:lumMod val="95000"/>
              <a:alpha val="60000"/>
            </a:scheme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AU" sz="1100" i="1">
              <a:solidFill>
                <a:schemeClr val="dk1"/>
              </a:solidFill>
              <a:latin typeface="+mn-lt"/>
              <a:ea typeface="+mn-ea"/>
              <a:cs typeface="+mn-cs"/>
            </a:rPr>
            <a:t>In this illustration, an internal server error occurs, this is one of three defined errors that may lead to a complete failure for the App Service Instance, this does not however lead to an App Service Plan failure. The App Service Plan is one of eight defined services that, if any fail, would lead to the Mars Travel Bookings web application failing. </a:t>
          </a:r>
        </a:p>
        <a:p>
          <a:pPr marL="0" marR="0" lvl="0" indent="0" defTabSz="914400" eaLnBrk="1" fontAlgn="auto" latinLnBrk="0" hangingPunct="1">
            <a:lnSpc>
              <a:spcPct val="100000"/>
            </a:lnSpc>
            <a:spcBef>
              <a:spcPts val="0"/>
            </a:spcBef>
            <a:spcAft>
              <a:spcPts val="0"/>
            </a:spcAft>
            <a:buClrTx/>
            <a:buSzTx/>
            <a:buFontTx/>
            <a:buNone/>
            <a:tabLst/>
            <a:defRPr/>
          </a:pPr>
          <a:endParaRPr lang="en-AU" sz="1100" i="1">
            <a:solidFill>
              <a:schemeClr val="dk1"/>
            </a:solidFill>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AU" sz="1100" i="1">
              <a:solidFill>
                <a:schemeClr val="dk1"/>
              </a:solidFill>
              <a:latin typeface="+mn-lt"/>
              <a:ea typeface="+mn-ea"/>
              <a:cs typeface="+mn-cs"/>
            </a:rPr>
            <a:t>In this case the Mars Travel Bookings application remains operational and travel bookings are possible.</a:t>
          </a:r>
        </a:p>
      </xdr:txBody>
    </xdr:sp>
    <xdr:clientData/>
  </xdr:twoCellAnchor>
  <xdr:twoCellAnchor editAs="oneCell">
    <xdr:from>
      <xdr:col>8</xdr:col>
      <xdr:colOff>3266723</xdr:colOff>
      <xdr:row>4</xdr:row>
      <xdr:rowOff>77611</xdr:rowOff>
    </xdr:from>
    <xdr:to>
      <xdr:col>9</xdr:col>
      <xdr:colOff>258716</xdr:colOff>
      <xdr:row>12</xdr:row>
      <xdr:rowOff>110564</xdr:rowOff>
    </xdr:to>
    <xdr:pic>
      <xdr:nvPicPr>
        <xdr:cNvPr id="2" name="Picture 1">
          <a:extLst>
            <a:ext uri="{FF2B5EF4-FFF2-40B4-BE49-F238E27FC236}">
              <a16:creationId xmlns:a16="http://schemas.microsoft.com/office/drawing/2014/main" id="{AB24A049-D08B-4023-A601-BEB78367744C}"/>
            </a:ext>
          </a:extLst>
        </xdr:cNvPr>
        <xdr:cNvPicPr>
          <a:picLocks noChangeAspect="1"/>
        </xdr:cNvPicPr>
      </xdr:nvPicPr>
      <xdr:blipFill>
        <a:blip xmlns:r="http://schemas.openxmlformats.org/officeDocument/2006/relationships" r:embed="rId2"/>
        <a:stretch>
          <a:fillRect/>
        </a:stretch>
      </xdr:blipFill>
      <xdr:spPr>
        <a:xfrm>
          <a:off x="23812501" y="896055"/>
          <a:ext cx="1405666" cy="149415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72572</xdr:colOff>
      <xdr:row>0</xdr:row>
      <xdr:rowOff>90714</xdr:rowOff>
    </xdr:from>
    <xdr:to>
      <xdr:col>1</xdr:col>
      <xdr:colOff>311021</xdr:colOff>
      <xdr:row>3</xdr:row>
      <xdr:rowOff>113788</xdr:rowOff>
    </xdr:to>
    <xdr:grpSp>
      <xdr:nvGrpSpPr>
        <xdr:cNvPr id="16" name="Group 3">
          <a:extLst>
            <a:ext uri="{FF2B5EF4-FFF2-40B4-BE49-F238E27FC236}">
              <a16:creationId xmlns:a16="http://schemas.microsoft.com/office/drawing/2014/main" id="{AC778E2F-FF13-41B2-BD41-71B35AF6BDB3}"/>
            </a:ext>
          </a:extLst>
        </xdr:cNvPr>
        <xdr:cNvGrpSpPr/>
      </xdr:nvGrpSpPr>
      <xdr:grpSpPr>
        <a:xfrm>
          <a:off x="72572" y="90714"/>
          <a:ext cx="628974" cy="651724"/>
          <a:chOff x="8756769" y="4362234"/>
          <a:chExt cx="648000" cy="651646"/>
        </a:xfrm>
      </xdr:grpSpPr>
      <xdr:sp macro="" textlink="">
        <xdr:nvSpPr>
          <xdr:cNvPr id="17" name="Rectangle 10">
            <a:extLst>
              <a:ext uri="{FF2B5EF4-FFF2-40B4-BE49-F238E27FC236}">
                <a16:creationId xmlns:a16="http://schemas.microsoft.com/office/drawing/2014/main" id="{E24B7ECF-EA45-C4E8-1F91-84CC06FFC1A9}"/>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8" name="Oval 11">
            <a:hlinkClick xmlns:r="http://schemas.openxmlformats.org/officeDocument/2006/relationships" r:id="rId3"/>
            <a:extLst>
              <a:ext uri="{FF2B5EF4-FFF2-40B4-BE49-F238E27FC236}">
                <a16:creationId xmlns:a16="http://schemas.microsoft.com/office/drawing/2014/main" id="{D659B969-537F-DA72-019D-969AC57DB256}"/>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9" name="Oval 12">
            <a:hlinkClick xmlns:r="http://schemas.openxmlformats.org/officeDocument/2006/relationships" r:id="rId4"/>
            <a:extLst>
              <a:ext uri="{FF2B5EF4-FFF2-40B4-BE49-F238E27FC236}">
                <a16:creationId xmlns:a16="http://schemas.microsoft.com/office/drawing/2014/main" id="{34435676-2168-72DD-2C40-2D47C75BFBAC}"/>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20" name="Graphic 13" descr="Home with solid fill">
            <a:hlinkClick xmlns:r="http://schemas.openxmlformats.org/officeDocument/2006/relationships" r:id="rId5"/>
            <a:extLst>
              <a:ext uri="{FF2B5EF4-FFF2-40B4-BE49-F238E27FC236}">
                <a16:creationId xmlns:a16="http://schemas.microsoft.com/office/drawing/2014/main" id="{7EA53E28-34B6-7867-B4BE-23C7AADD188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21" name="Graphic 14" descr="User outline">
            <a:hlinkClick xmlns:r="http://schemas.openxmlformats.org/officeDocument/2006/relationships" r:id="rId8"/>
            <a:extLst>
              <a:ext uri="{FF2B5EF4-FFF2-40B4-BE49-F238E27FC236}">
                <a16:creationId xmlns:a16="http://schemas.microsoft.com/office/drawing/2014/main" id="{D66A4B11-569E-B25F-AE74-C57EFFD58527}"/>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24.xml><?xml version="1.0" encoding="utf-8"?>
<xdr:wsDr xmlns:xdr="http://schemas.openxmlformats.org/drawingml/2006/spreadsheetDrawing" xmlns:a="http://schemas.openxmlformats.org/drawingml/2006/main">
  <xdr:twoCellAnchor>
    <xdr:from>
      <xdr:col>8</xdr:col>
      <xdr:colOff>78740</xdr:colOff>
      <xdr:row>27</xdr:row>
      <xdr:rowOff>76200</xdr:rowOff>
    </xdr:from>
    <xdr:to>
      <xdr:col>17</xdr:col>
      <xdr:colOff>381000</xdr:colOff>
      <xdr:row>39</xdr:row>
      <xdr:rowOff>144780</xdr:rowOff>
    </xdr:to>
    <xdr:graphicFrame macro="">
      <xdr:nvGraphicFramePr>
        <xdr:cNvPr id="3" name="Diagram 2">
          <a:extLst>
            <a:ext uri="{FF2B5EF4-FFF2-40B4-BE49-F238E27FC236}">
              <a16:creationId xmlns:a16="http://schemas.microsoft.com/office/drawing/2014/main" id="{00000000-0008-0000-1700-000003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editAs="oneCell">
    <xdr:from>
      <xdr:col>6</xdr:col>
      <xdr:colOff>56133</xdr:colOff>
      <xdr:row>38</xdr:row>
      <xdr:rowOff>1028178</xdr:rowOff>
    </xdr:from>
    <xdr:to>
      <xdr:col>6</xdr:col>
      <xdr:colOff>939418</xdr:colOff>
      <xdr:row>39</xdr:row>
      <xdr:rowOff>3288</xdr:rowOff>
    </xdr:to>
    <xdr:pic>
      <xdr:nvPicPr>
        <xdr:cNvPr id="5" name="Graphic 4" descr="Box outline">
          <a:extLst>
            <a:ext uri="{FF2B5EF4-FFF2-40B4-BE49-F238E27FC236}">
              <a16:creationId xmlns:a16="http://schemas.microsoft.com/office/drawing/2014/main" id="{00000000-0008-0000-1700-000005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58533" y="8997428"/>
          <a:ext cx="891540" cy="918210"/>
        </a:xfrm>
        <a:prstGeom prst="rect">
          <a:avLst/>
        </a:prstGeom>
      </xdr:spPr>
    </xdr:pic>
    <xdr:clientData/>
  </xdr:twoCellAnchor>
  <xdr:twoCellAnchor editAs="oneCell">
    <xdr:from>
      <xdr:col>6</xdr:col>
      <xdr:colOff>56910</xdr:colOff>
      <xdr:row>37</xdr:row>
      <xdr:rowOff>116984</xdr:rowOff>
    </xdr:from>
    <xdr:to>
      <xdr:col>6</xdr:col>
      <xdr:colOff>939912</xdr:colOff>
      <xdr:row>37</xdr:row>
      <xdr:rowOff>841590</xdr:rowOff>
    </xdr:to>
    <xdr:pic>
      <xdr:nvPicPr>
        <xdr:cNvPr id="7" name="Graphic 6" descr="Warehouse outline">
          <a:extLst>
            <a:ext uri="{FF2B5EF4-FFF2-40B4-BE49-F238E27FC236}">
              <a16:creationId xmlns:a16="http://schemas.microsoft.com/office/drawing/2014/main" id="{00000000-0008-0000-1700-000007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559310" y="6987684"/>
          <a:ext cx="891257" cy="724606"/>
        </a:xfrm>
        <a:prstGeom prst="rect">
          <a:avLst/>
        </a:prstGeom>
      </xdr:spPr>
    </xdr:pic>
    <xdr:clientData/>
  </xdr:twoCellAnchor>
  <xdr:twoCellAnchor editAs="oneCell">
    <xdr:from>
      <xdr:col>6</xdr:col>
      <xdr:colOff>31368</xdr:colOff>
      <xdr:row>33</xdr:row>
      <xdr:rowOff>494277</xdr:rowOff>
    </xdr:from>
    <xdr:to>
      <xdr:col>6</xdr:col>
      <xdr:colOff>940053</xdr:colOff>
      <xdr:row>35</xdr:row>
      <xdr:rowOff>682237</xdr:rowOff>
    </xdr:to>
    <xdr:pic>
      <xdr:nvPicPr>
        <xdr:cNvPr id="9" name="Graphic 8" descr="Call center outline">
          <a:extLst>
            <a:ext uri="{FF2B5EF4-FFF2-40B4-BE49-F238E27FC236}">
              <a16:creationId xmlns:a16="http://schemas.microsoft.com/office/drawing/2014/main" id="{00000000-0008-0000-1700-000009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6533768" y="4805927"/>
          <a:ext cx="916940" cy="918210"/>
        </a:xfrm>
        <a:prstGeom prst="rect">
          <a:avLst/>
        </a:prstGeom>
      </xdr:spPr>
    </xdr:pic>
    <xdr:clientData/>
  </xdr:twoCellAnchor>
  <xdr:twoCellAnchor editAs="oneCell">
    <xdr:from>
      <xdr:col>6</xdr:col>
      <xdr:colOff>28455</xdr:colOff>
      <xdr:row>28</xdr:row>
      <xdr:rowOff>148940</xdr:rowOff>
    </xdr:from>
    <xdr:to>
      <xdr:col>6</xdr:col>
      <xdr:colOff>940427</xdr:colOff>
      <xdr:row>28</xdr:row>
      <xdr:rowOff>1063340</xdr:rowOff>
    </xdr:to>
    <xdr:pic>
      <xdr:nvPicPr>
        <xdr:cNvPr id="11" name="Graphic 10" descr="User outline">
          <a:extLst>
            <a:ext uri="{FF2B5EF4-FFF2-40B4-BE49-F238E27FC236}">
              <a16:creationId xmlns:a16="http://schemas.microsoft.com/office/drawing/2014/main" id="{00000000-0008-0000-1700-00000B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6530855" y="2625440"/>
          <a:ext cx="920227" cy="914400"/>
        </a:xfrm>
        <a:prstGeom prst="rect">
          <a:avLst/>
        </a:prstGeom>
      </xdr:spPr>
    </xdr:pic>
    <xdr:clientData/>
  </xdr:twoCellAnchor>
  <xdr:twoCellAnchor editAs="oneCell">
    <xdr:from>
      <xdr:col>3</xdr:col>
      <xdr:colOff>0</xdr:colOff>
      <xdr:row>19</xdr:row>
      <xdr:rowOff>0</xdr:rowOff>
    </xdr:from>
    <xdr:to>
      <xdr:col>3</xdr:col>
      <xdr:colOff>304800</xdr:colOff>
      <xdr:row>20</xdr:row>
      <xdr:rowOff>116842</xdr:rowOff>
    </xdr:to>
    <xdr:sp macro="" textlink="">
      <xdr:nvSpPr>
        <xdr:cNvPr id="2" name="AutoShape 9" descr="Diagram showing the reference architecture for a web application with high availability.">
          <a:extLst>
            <a:ext uri="{FF2B5EF4-FFF2-40B4-BE49-F238E27FC236}">
              <a16:creationId xmlns:a16="http://schemas.microsoft.com/office/drawing/2014/main" id="{CE114021-B104-4FDB-BDFD-ED8A3EA05306}"/>
            </a:ext>
          </a:extLst>
        </xdr:cNvPr>
        <xdr:cNvSpPr>
          <a:spLocks noChangeAspect="1" noChangeArrowheads="1"/>
        </xdr:cNvSpPr>
      </xdr:nvSpPr>
      <xdr:spPr bwMode="auto">
        <a:xfrm>
          <a:off x="520700" y="3397250"/>
          <a:ext cx="304800" cy="30099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16</xdr:col>
      <xdr:colOff>889000</xdr:colOff>
      <xdr:row>4</xdr:row>
      <xdr:rowOff>101600</xdr:rowOff>
    </xdr:from>
    <xdr:to>
      <xdr:col>18</xdr:col>
      <xdr:colOff>571276</xdr:colOff>
      <xdr:row>12</xdr:row>
      <xdr:rowOff>117479</xdr:rowOff>
    </xdr:to>
    <xdr:pic>
      <xdr:nvPicPr>
        <xdr:cNvPr id="4" name="Picture 3">
          <a:extLst>
            <a:ext uri="{FF2B5EF4-FFF2-40B4-BE49-F238E27FC236}">
              <a16:creationId xmlns:a16="http://schemas.microsoft.com/office/drawing/2014/main" id="{974F2447-D9EC-4229-9B85-D030E57EC279}"/>
            </a:ext>
          </a:extLst>
        </xdr:cNvPr>
        <xdr:cNvPicPr>
          <a:picLocks noChangeAspect="1"/>
        </xdr:cNvPicPr>
      </xdr:nvPicPr>
      <xdr:blipFill>
        <a:blip xmlns:r="http://schemas.openxmlformats.org/officeDocument/2006/relationships" r:embed="rId14"/>
        <a:stretch>
          <a:fillRect/>
        </a:stretch>
      </xdr:blipFill>
      <xdr:spPr>
        <a:xfrm>
          <a:off x="17335500" y="920750"/>
          <a:ext cx="1409476" cy="149796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74705</xdr:colOff>
      <xdr:row>0</xdr:row>
      <xdr:rowOff>37353</xdr:rowOff>
    </xdr:from>
    <xdr:to>
      <xdr:col>1</xdr:col>
      <xdr:colOff>317956</xdr:colOff>
      <xdr:row>3</xdr:row>
      <xdr:rowOff>51356</xdr:rowOff>
    </xdr:to>
    <xdr:grpSp>
      <xdr:nvGrpSpPr>
        <xdr:cNvPr id="31" name="Group 5">
          <a:extLst>
            <a:ext uri="{FF2B5EF4-FFF2-40B4-BE49-F238E27FC236}">
              <a16:creationId xmlns:a16="http://schemas.microsoft.com/office/drawing/2014/main" id="{CB8B1630-029C-4B2F-9EDD-FD067714BB0E}"/>
            </a:ext>
          </a:extLst>
        </xdr:cNvPr>
        <xdr:cNvGrpSpPr/>
      </xdr:nvGrpSpPr>
      <xdr:grpSpPr>
        <a:xfrm>
          <a:off x="74705" y="37353"/>
          <a:ext cx="633776" cy="642653"/>
          <a:chOff x="8756769" y="4362234"/>
          <a:chExt cx="648000" cy="651646"/>
        </a:xfrm>
      </xdr:grpSpPr>
      <xdr:sp macro="" textlink="">
        <xdr:nvSpPr>
          <xdr:cNvPr id="32" name="Rectangle 13">
            <a:extLst>
              <a:ext uri="{FF2B5EF4-FFF2-40B4-BE49-F238E27FC236}">
                <a16:creationId xmlns:a16="http://schemas.microsoft.com/office/drawing/2014/main" id="{C4DD1FB1-D223-7880-3B41-62471415923E}"/>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33" name="Oval 14">
            <a:hlinkClick xmlns:r="http://schemas.openxmlformats.org/officeDocument/2006/relationships" r:id="rId15"/>
            <a:extLst>
              <a:ext uri="{FF2B5EF4-FFF2-40B4-BE49-F238E27FC236}">
                <a16:creationId xmlns:a16="http://schemas.microsoft.com/office/drawing/2014/main" id="{97AF9AC3-9069-F1FB-14DA-A6881DE1678C}"/>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34" name="Oval 15">
            <a:hlinkClick xmlns:r="http://schemas.openxmlformats.org/officeDocument/2006/relationships" r:id="rId16"/>
            <a:extLst>
              <a:ext uri="{FF2B5EF4-FFF2-40B4-BE49-F238E27FC236}">
                <a16:creationId xmlns:a16="http://schemas.microsoft.com/office/drawing/2014/main" id="{625D3534-A037-58F1-DA37-6BDFBD37A610}"/>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35" name="Graphic 16" descr="Home with solid fill">
            <a:hlinkClick xmlns:r="http://schemas.openxmlformats.org/officeDocument/2006/relationships" r:id="rId17"/>
            <a:extLst>
              <a:ext uri="{FF2B5EF4-FFF2-40B4-BE49-F238E27FC236}">
                <a16:creationId xmlns:a16="http://schemas.microsoft.com/office/drawing/2014/main" id="{46F2BD9C-AC7A-B546-F9D2-11E4AB9E3C7E}"/>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36" name="Graphic 17" descr="User outline">
            <a:hlinkClick xmlns:r="http://schemas.openxmlformats.org/officeDocument/2006/relationships" r:id="rId20"/>
            <a:extLst>
              <a:ext uri="{FF2B5EF4-FFF2-40B4-BE49-F238E27FC236}">
                <a16:creationId xmlns:a16="http://schemas.microsoft.com/office/drawing/2014/main" id="{3F8D6DC5-AF4A-9AFE-5983-65A180C9D890}"/>
              </a:ext>
            </a:extLst>
          </xdr:cNvPr>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25.xml><?xml version="1.0" encoding="utf-8"?>
<xdr:wsDr xmlns:xdr="http://schemas.openxmlformats.org/drawingml/2006/spreadsheetDrawing" xmlns:a="http://schemas.openxmlformats.org/drawingml/2006/main">
  <xdr:twoCellAnchor editAs="absolute">
    <xdr:from>
      <xdr:col>2</xdr:col>
      <xdr:colOff>183484</xdr:colOff>
      <xdr:row>24</xdr:row>
      <xdr:rowOff>1906</xdr:rowOff>
    </xdr:from>
    <xdr:to>
      <xdr:col>4</xdr:col>
      <xdr:colOff>1393434</xdr:colOff>
      <xdr:row>32</xdr:row>
      <xdr:rowOff>73660</xdr:rowOff>
    </xdr:to>
    <mc:AlternateContent xmlns:mc="http://schemas.openxmlformats.org/markup-compatibility/2006" xmlns:sle15="http://schemas.microsoft.com/office/drawing/2012/slicer">
      <mc:Choice Requires="sle15">
        <xdr:graphicFrame macro="">
          <xdr:nvGraphicFramePr>
            <xdr:cNvPr id="2" name="Name 1">
              <a:extLst>
                <a:ext uri="{FF2B5EF4-FFF2-40B4-BE49-F238E27FC236}">
                  <a16:creationId xmlns:a16="http://schemas.microsoft.com/office/drawing/2014/main" id="{00000000-0008-0000-0700-000002000000}"/>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972154" y="4502151"/>
              <a:ext cx="2874920" cy="1546859"/>
            </a:xfrm>
            <a:prstGeom prst="rect">
              <a:avLst/>
            </a:prstGeom>
            <a:solidFill>
              <a:prstClr val="white"/>
            </a:solidFill>
            <a:ln w="1">
              <a:solidFill>
                <a:prstClr val="green"/>
              </a:solidFill>
            </a:ln>
          </xdr:spPr>
          <xdr:txBody>
            <a:bodyPr vertOverflow="clip" horzOverflow="clip"/>
            <a:lstStyle/>
            <a:p>
              <a:r>
                <a:rPr lang="en-AU"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4</xdr:col>
      <xdr:colOff>2226764</xdr:colOff>
      <xdr:row>24</xdr:row>
      <xdr:rowOff>1</xdr:rowOff>
    </xdr:from>
    <xdr:to>
      <xdr:col>6</xdr:col>
      <xdr:colOff>208374</xdr:colOff>
      <xdr:row>32</xdr:row>
      <xdr:rowOff>74930</xdr:rowOff>
    </xdr:to>
    <mc:AlternateContent xmlns:mc="http://schemas.openxmlformats.org/markup-compatibility/2006" xmlns:sle15="http://schemas.microsoft.com/office/drawing/2012/slicer">
      <mc:Choice Requires="sle15">
        <xdr:graphicFrame macro="">
          <xdr:nvGraphicFramePr>
            <xdr:cNvPr id="3" name="Role 1">
              <a:extLst>
                <a:ext uri="{FF2B5EF4-FFF2-40B4-BE49-F238E27FC236}">
                  <a16:creationId xmlns:a16="http://schemas.microsoft.com/office/drawing/2014/main" id="{00000000-0008-0000-0700-000003000000}"/>
                </a:ext>
              </a:extLst>
            </xdr:cNvPr>
            <xdr:cNvGraphicFramePr/>
          </xdr:nvGraphicFramePr>
          <xdr:xfrm>
            <a:off x="0" y="0"/>
            <a:ext cx="0" cy="0"/>
          </xdr:xfrm>
          <a:graphic>
            <a:graphicData uri="http://schemas.microsoft.com/office/drawing/2010/slicer">
              <sle:slicer xmlns:sle="http://schemas.microsoft.com/office/drawing/2010/slicer" name="Role 1"/>
            </a:graphicData>
          </a:graphic>
        </xdr:graphicFrame>
      </mc:Choice>
      <mc:Fallback xmlns="">
        <xdr:sp macro="" textlink="">
          <xdr:nvSpPr>
            <xdr:cNvPr id="0" name=""/>
            <xdr:cNvSpPr>
              <a:spLocks noTextEdit="1"/>
            </xdr:cNvSpPr>
          </xdr:nvSpPr>
          <xdr:spPr>
            <a:xfrm>
              <a:off x="4675324" y="4502151"/>
              <a:ext cx="2883810" cy="1548129"/>
            </a:xfrm>
            <a:prstGeom prst="rect">
              <a:avLst/>
            </a:prstGeom>
            <a:solidFill>
              <a:prstClr val="white"/>
            </a:solidFill>
            <a:ln w="1">
              <a:solidFill>
                <a:prstClr val="green"/>
              </a:solidFill>
            </a:ln>
          </xdr:spPr>
          <xdr:txBody>
            <a:bodyPr vertOverflow="clip" horzOverflow="clip"/>
            <a:lstStyle/>
            <a:p>
              <a:r>
                <a:rPr lang="en-AU"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1039164</xdr:colOff>
      <xdr:row>24</xdr:row>
      <xdr:rowOff>1</xdr:rowOff>
    </xdr:from>
    <xdr:to>
      <xdr:col>8</xdr:col>
      <xdr:colOff>2087824</xdr:colOff>
      <xdr:row>32</xdr:row>
      <xdr:rowOff>74930</xdr:rowOff>
    </xdr:to>
    <mc:AlternateContent xmlns:mc="http://schemas.openxmlformats.org/markup-compatibility/2006" xmlns:sle15="http://schemas.microsoft.com/office/drawing/2012/slicer">
      <mc:Choice Requires="sle15">
        <xdr:graphicFrame macro="">
          <xdr:nvGraphicFramePr>
            <xdr:cNvPr id="4" name="Department 1">
              <a:extLst>
                <a:ext uri="{FF2B5EF4-FFF2-40B4-BE49-F238E27FC236}">
                  <a16:creationId xmlns:a16="http://schemas.microsoft.com/office/drawing/2014/main" id="{00000000-0008-0000-0700-000004000000}"/>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8391194" y="4502151"/>
              <a:ext cx="2886350" cy="1548129"/>
            </a:xfrm>
            <a:prstGeom prst="rect">
              <a:avLst/>
            </a:prstGeom>
            <a:solidFill>
              <a:prstClr val="white"/>
            </a:solidFill>
            <a:ln w="1">
              <a:solidFill>
                <a:prstClr val="green"/>
              </a:solidFill>
            </a:ln>
          </xdr:spPr>
          <xdr:txBody>
            <a:bodyPr vertOverflow="clip" horzOverflow="clip"/>
            <a:lstStyle/>
            <a:p>
              <a:r>
                <a:rPr lang="en-AU"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698655</xdr:colOff>
      <xdr:row>24</xdr:row>
      <xdr:rowOff>1906</xdr:rowOff>
    </xdr:from>
    <xdr:to>
      <xdr:col>12</xdr:col>
      <xdr:colOff>712265</xdr:colOff>
      <xdr:row>32</xdr:row>
      <xdr:rowOff>74930</xdr:rowOff>
    </xdr:to>
    <mc:AlternateContent xmlns:mc="http://schemas.openxmlformats.org/markup-compatibility/2006" xmlns:sle15="http://schemas.microsoft.com/office/drawing/2012/slicer">
      <mc:Choice Requires="sle15">
        <xdr:graphicFrame macro="">
          <xdr:nvGraphicFramePr>
            <xdr:cNvPr id="5" name="Application">
              <a:extLst>
                <a:ext uri="{FF2B5EF4-FFF2-40B4-BE49-F238E27FC236}">
                  <a16:creationId xmlns:a16="http://schemas.microsoft.com/office/drawing/2014/main" id="{00000000-0008-0000-0700-000005000000}"/>
                </a:ext>
              </a:extLst>
            </xdr:cNvPr>
            <xdr:cNvGraphicFramePr/>
          </xdr:nvGraphicFramePr>
          <xdr:xfrm>
            <a:off x="0" y="0"/>
            <a:ext cx="0" cy="0"/>
          </xdr:xfrm>
          <a:graphic>
            <a:graphicData uri="http://schemas.microsoft.com/office/drawing/2010/slicer">
              <sle:slicer xmlns:sle="http://schemas.microsoft.com/office/drawing/2010/slicer" name="Application"/>
            </a:graphicData>
          </a:graphic>
        </xdr:graphicFrame>
      </mc:Choice>
      <mc:Fallback xmlns="">
        <xdr:sp macro="" textlink="">
          <xdr:nvSpPr>
            <xdr:cNvPr id="0" name=""/>
            <xdr:cNvSpPr>
              <a:spLocks noTextEdit="1"/>
            </xdr:cNvSpPr>
          </xdr:nvSpPr>
          <xdr:spPr>
            <a:xfrm>
              <a:off x="12107065" y="4502151"/>
              <a:ext cx="2888890" cy="1548129"/>
            </a:xfrm>
            <a:prstGeom prst="rect">
              <a:avLst/>
            </a:prstGeom>
            <a:solidFill>
              <a:prstClr val="white"/>
            </a:solidFill>
            <a:ln w="1">
              <a:solidFill>
                <a:prstClr val="green"/>
              </a:solidFill>
            </a:ln>
          </xdr:spPr>
          <xdr:txBody>
            <a:bodyPr vertOverflow="clip" horzOverflow="clip"/>
            <a:lstStyle/>
            <a:p>
              <a:r>
                <a:rPr lang="en-AU"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oneCell">
    <xdr:from>
      <xdr:col>9</xdr:col>
      <xdr:colOff>336849</xdr:colOff>
      <xdr:row>4</xdr:row>
      <xdr:rowOff>138002</xdr:rowOff>
    </xdr:from>
    <xdr:to>
      <xdr:col>10</xdr:col>
      <xdr:colOff>149629</xdr:colOff>
      <xdr:row>9</xdr:row>
      <xdr:rowOff>2779</xdr:rowOff>
    </xdr:to>
    <xdr:pic>
      <xdr:nvPicPr>
        <xdr:cNvPr id="6" name="Graphic 5" descr="Right pointing backhand index outline">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1354099" y="957152"/>
          <a:ext cx="644630" cy="779812"/>
        </a:xfrm>
        <a:prstGeom prst="rect">
          <a:avLst/>
        </a:prstGeom>
      </xdr:spPr>
    </xdr:pic>
    <xdr:clientData/>
  </xdr:twoCellAnchor>
  <xdr:twoCellAnchor editAs="absolute">
    <xdr:from>
      <xdr:col>10</xdr:col>
      <xdr:colOff>299720</xdr:colOff>
      <xdr:row>5</xdr:row>
      <xdr:rowOff>9301</xdr:rowOff>
    </xdr:from>
    <xdr:to>
      <xdr:col>11</xdr:col>
      <xdr:colOff>392281</xdr:colOff>
      <xdr:row>8</xdr:row>
      <xdr:rowOff>155350</xdr:rowOff>
    </xdr:to>
    <xdr:sp macro="" textlink="">
      <xdr:nvSpPr>
        <xdr:cNvPr id="7" name="Rectangle: Rounded Corners 6">
          <a:hlinkClick xmlns:r="http://schemas.openxmlformats.org/officeDocument/2006/relationships" r:id="rId3"/>
          <a:extLst>
            <a:ext uri="{FF2B5EF4-FFF2-40B4-BE49-F238E27FC236}">
              <a16:creationId xmlns:a16="http://schemas.microsoft.com/office/drawing/2014/main" id="{00000000-0008-0000-0700-000007000000}"/>
            </a:ext>
          </a:extLst>
        </xdr:cNvPr>
        <xdr:cNvSpPr/>
      </xdr:nvSpPr>
      <xdr:spPr>
        <a:xfrm>
          <a:off x="12542520" y="1012601"/>
          <a:ext cx="918061" cy="698499"/>
        </a:xfrm>
        <a:prstGeom prst="roundRect">
          <a:avLst/>
        </a:prstGeom>
        <a:solidFill>
          <a:schemeClr val="tx1">
            <a:lumMod val="75000"/>
            <a:lumOff val="25000"/>
          </a:schemeClr>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AU" sz="1100" b="0" i="0">
              <a:solidFill>
                <a:schemeClr val="bg1"/>
              </a:solidFill>
              <a:effectLst/>
              <a:latin typeface="+mn-lt"/>
              <a:ea typeface="+mn-ea"/>
              <a:cs typeface="+mn-cs"/>
            </a:rPr>
            <a:t>CLICK HERE to review RACI</a:t>
          </a:r>
          <a:endParaRPr lang="en-AU">
            <a:solidFill>
              <a:schemeClr val="bg1"/>
            </a:solidFill>
            <a:effectLst/>
          </a:endParaRPr>
        </a:p>
      </xdr:txBody>
    </xdr:sp>
    <xdr:clientData/>
  </xdr:twoCellAnchor>
  <xdr:twoCellAnchor editAs="oneCell">
    <xdr:from>
      <xdr:col>13</xdr:col>
      <xdr:colOff>473710</xdr:colOff>
      <xdr:row>4</xdr:row>
      <xdr:rowOff>53340</xdr:rowOff>
    </xdr:from>
    <xdr:to>
      <xdr:col>14</xdr:col>
      <xdr:colOff>1070386</xdr:colOff>
      <xdr:row>12</xdr:row>
      <xdr:rowOff>73029</xdr:rowOff>
    </xdr:to>
    <xdr:pic>
      <xdr:nvPicPr>
        <xdr:cNvPr id="10" name="Picture 9">
          <a:extLst>
            <a:ext uri="{FF2B5EF4-FFF2-40B4-BE49-F238E27FC236}">
              <a16:creationId xmlns:a16="http://schemas.microsoft.com/office/drawing/2014/main" id="{04D756F8-C7EE-4F08-9872-A1A07C49B605}"/>
            </a:ext>
          </a:extLst>
        </xdr:cNvPr>
        <xdr:cNvPicPr>
          <a:picLocks noChangeAspect="1"/>
        </xdr:cNvPicPr>
      </xdr:nvPicPr>
      <xdr:blipFill>
        <a:blip xmlns:r="http://schemas.openxmlformats.org/officeDocument/2006/relationships" r:embed="rId4"/>
        <a:stretch>
          <a:fillRect/>
        </a:stretch>
      </xdr:blipFill>
      <xdr:spPr>
        <a:xfrm>
          <a:off x="15866110" y="872490"/>
          <a:ext cx="1422176" cy="149288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3</xdr:col>
      <xdr:colOff>0</xdr:colOff>
      <xdr:row>19</xdr:row>
      <xdr:rowOff>0</xdr:rowOff>
    </xdr:from>
    <xdr:to>
      <xdr:col>3</xdr:col>
      <xdr:colOff>304800</xdr:colOff>
      <xdr:row>20</xdr:row>
      <xdr:rowOff>116842</xdr:rowOff>
    </xdr:to>
    <xdr:sp macro="" textlink="">
      <xdr:nvSpPr>
        <xdr:cNvPr id="9" name="AutoShape 9" descr="Diagram showing the reference architecture for a web application with high availability.">
          <a:extLst>
            <a:ext uri="{FF2B5EF4-FFF2-40B4-BE49-F238E27FC236}">
              <a16:creationId xmlns:a16="http://schemas.microsoft.com/office/drawing/2014/main" id="{CA822DA0-0E26-4D9B-8772-626D7118DB4A}"/>
            </a:ext>
          </a:extLst>
        </xdr:cNvPr>
        <xdr:cNvSpPr>
          <a:spLocks noChangeAspect="1" noChangeArrowheads="1"/>
        </xdr:cNvSpPr>
      </xdr:nvSpPr>
      <xdr:spPr bwMode="auto">
        <a:xfrm>
          <a:off x="654050" y="3581400"/>
          <a:ext cx="304800" cy="30099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63500</xdr:colOff>
      <xdr:row>0</xdr:row>
      <xdr:rowOff>82550</xdr:rowOff>
    </xdr:from>
    <xdr:to>
      <xdr:col>1</xdr:col>
      <xdr:colOff>303763</xdr:colOff>
      <xdr:row>3</xdr:row>
      <xdr:rowOff>96553</xdr:rowOff>
    </xdr:to>
    <xdr:grpSp>
      <xdr:nvGrpSpPr>
        <xdr:cNvPr id="38" name="Group 7">
          <a:extLst>
            <a:ext uri="{FF2B5EF4-FFF2-40B4-BE49-F238E27FC236}">
              <a16:creationId xmlns:a16="http://schemas.microsoft.com/office/drawing/2014/main" id="{D94BCBBD-F8A2-44D4-99E7-E2BF17F421A2}"/>
            </a:ext>
          </a:extLst>
        </xdr:cNvPr>
        <xdr:cNvGrpSpPr/>
      </xdr:nvGrpSpPr>
      <xdr:grpSpPr>
        <a:xfrm>
          <a:off x="63500" y="82550"/>
          <a:ext cx="630788" cy="642653"/>
          <a:chOff x="8756769" y="4362234"/>
          <a:chExt cx="648000" cy="651646"/>
        </a:xfrm>
      </xdr:grpSpPr>
      <xdr:sp macro="" textlink="">
        <xdr:nvSpPr>
          <xdr:cNvPr id="39" name="Rectangle 14">
            <a:extLst>
              <a:ext uri="{FF2B5EF4-FFF2-40B4-BE49-F238E27FC236}">
                <a16:creationId xmlns:a16="http://schemas.microsoft.com/office/drawing/2014/main" id="{9ABA33E1-07DE-8B1B-6918-B06D7BCD8FF6}"/>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40" name="Oval 15">
            <a:hlinkClick xmlns:r="http://schemas.openxmlformats.org/officeDocument/2006/relationships" r:id="rId5"/>
            <a:extLst>
              <a:ext uri="{FF2B5EF4-FFF2-40B4-BE49-F238E27FC236}">
                <a16:creationId xmlns:a16="http://schemas.microsoft.com/office/drawing/2014/main" id="{1CF26F2E-A463-82A2-601D-A3B51358BCA1}"/>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41" name="Oval 16">
            <a:hlinkClick xmlns:r="http://schemas.openxmlformats.org/officeDocument/2006/relationships" r:id="rId6"/>
            <a:extLst>
              <a:ext uri="{FF2B5EF4-FFF2-40B4-BE49-F238E27FC236}">
                <a16:creationId xmlns:a16="http://schemas.microsoft.com/office/drawing/2014/main" id="{4C841B65-53A4-1F05-FB32-D19735A71583}"/>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42" name="Graphic 17" descr="Home with solid fill">
            <a:hlinkClick xmlns:r="http://schemas.openxmlformats.org/officeDocument/2006/relationships" r:id="rId7"/>
            <a:extLst>
              <a:ext uri="{FF2B5EF4-FFF2-40B4-BE49-F238E27FC236}">
                <a16:creationId xmlns:a16="http://schemas.microsoft.com/office/drawing/2014/main" id="{2A0B30C5-4BE4-4A8E-68A5-ADE3CD85BAF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43" name="Graphic 18" descr="User outline">
            <a:hlinkClick xmlns:r="http://schemas.openxmlformats.org/officeDocument/2006/relationships" r:id="rId10"/>
            <a:extLst>
              <a:ext uri="{FF2B5EF4-FFF2-40B4-BE49-F238E27FC236}">
                <a16:creationId xmlns:a16="http://schemas.microsoft.com/office/drawing/2014/main" id="{542918B1-6FCD-8D81-90F3-FBB13C14B011}"/>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26.xml><?xml version="1.0" encoding="utf-8"?>
<xdr:wsDr xmlns:xdr="http://schemas.openxmlformats.org/drawingml/2006/spreadsheetDrawing" xmlns:a="http://schemas.openxmlformats.org/drawingml/2006/main">
  <xdr:twoCellAnchor editAs="oneCell">
    <xdr:from>
      <xdr:col>3</xdr:col>
      <xdr:colOff>0</xdr:colOff>
      <xdr:row>21</xdr:row>
      <xdr:rowOff>0</xdr:rowOff>
    </xdr:from>
    <xdr:to>
      <xdr:col>3</xdr:col>
      <xdr:colOff>304800</xdr:colOff>
      <xdr:row>22</xdr:row>
      <xdr:rowOff>116844</xdr:rowOff>
    </xdr:to>
    <xdr:sp macro="" textlink="">
      <xdr:nvSpPr>
        <xdr:cNvPr id="111" name="AutoShape 9" descr="Diagram showing the reference architecture for a web application with high availability.">
          <a:extLst>
            <a:ext uri="{FF2B5EF4-FFF2-40B4-BE49-F238E27FC236}">
              <a16:creationId xmlns:a16="http://schemas.microsoft.com/office/drawing/2014/main" id="{68B171D0-E1F5-42A4-92FB-50BF9D8D056A}"/>
            </a:ext>
          </a:extLst>
        </xdr:cNvPr>
        <xdr:cNvSpPr>
          <a:spLocks noChangeAspect="1" noChangeArrowheads="1"/>
        </xdr:cNvSpPr>
      </xdr:nvSpPr>
      <xdr:spPr bwMode="auto">
        <a:xfrm>
          <a:off x="520700" y="3397250"/>
          <a:ext cx="304800" cy="30099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25</xdr:col>
      <xdr:colOff>567765</xdr:colOff>
      <xdr:row>4</xdr:row>
      <xdr:rowOff>89648</xdr:rowOff>
    </xdr:from>
    <xdr:to>
      <xdr:col>27</xdr:col>
      <xdr:colOff>40716</xdr:colOff>
      <xdr:row>12</xdr:row>
      <xdr:rowOff>111877</xdr:rowOff>
    </xdr:to>
    <xdr:pic>
      <xdr:nvPicPr>
        <xdr:cNvPr id="112" name="Picture 111">
          <a:extLst>
            <a:ext uri="{FF2B5EF4-FFF2-40B4-BE49-F238E27FC236}">
              <a16:creationId xmlns:a16="http://schemas.microsoft.com/office/drawing/2014/main" id="{17447AA5-63E8-4B5D-899E-6B2BCCC3700B}"/>
            </a:ext>
          </a:extLst>
        </xdr:cNvPr>
        <xdr:cNvPicPr>
          <a:picLocks noChangeAspect="1"/>
        </xdr:cNvPicPr>
      </xdr:nvPicPr>
      <xdr:blipFill>
        <a:blip xmlns:r="http://schemas.openxmlformats.org/officeDocument/2006/relationships" r:embed="rId1"/>
        <a:stretch>
          <a:fillRect/>
        </a:stretch>
      </xdr:blipFill>
      <xdr:spPr>
        <a:xfrm>
          <a:off x="24152412" y="918883"/>
          <a:ext cx="1409252" cy="151634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92360</xdr:colOff>
      <xdr:row>0</xdr:row>
      <xdr:rowOff>161637</xdr:rowOff>
    </xdr:from>
    <xdr:to>
      <xdr:col>1</xdr:col>
      <xdr:colOff>334932</xdr:colOff>
      <xdr:row>3</xdr:row>
      <xdr:rowOff>175640</xdr:rowOff>
    </xdr:to>
    <xdr:grpSp>
      <xdr:nvGrpSpPr>
        <xdr:cNvPr id="60" name="Group 1">
          <a:extLst>
            <a:ext uri="{FF2B5EF4-FFF2-40B4-BE49-F238E27FC236}">
              <a16:creationId xmlns:a16="http://schemas.microsoft.com/office/drawing/2014/main" id="{4EDD05EA-9029-4249-919B-644EFDD3BD8A}"/>
            </a:ext>
          </a:extLst>
        </xdr:cNvPr>
        <xdr:cNvGrpSpPr/>
      </xdr:nvGrpSpPr>
      <xdr:grpSpPr>
        <a:xfrm>
          <a:off x="92360" y="161637"/>
          <a:ext cx="633097" cy="642653"/>
          <a:chOff x="8756769" y="4362234"/>
          <a:chExt cx="648000" cy="651646"/>
        </a:xfrm>
      </xdr:grpSpPr>
      <xdr:sp macro="" textlink="">
        <xdr:nvSpPr>
          <xdr:cNvPr id="61" name="Rectangle 6">
            <a:extLst>
              <a:ext uri="{FF2B5EF4-FFF2-40B4-BE49-F238E27FC236}">
                <a16:creationId xmlns:a16="http://schemas.microsoft.com/office/drawing/2014/main" id="{BFB49390-410F-96BE-7C9F-EAD5BB73AF36}"/>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62" name="Oval 7">
            <a:hlinkClick xmlns:r="http://schemas.openxmlformats.org/officeDocument/2006/relationships" r:id="rId2"/>
            <a:extLst>
              <a:ext uri="{FF2B5EF4-FFF2-40B4-BE49-F238E27FC236}">
                <a16:creationId xmlns:a16="http://schemas.microsoft.com/office/drawing/2014/main" id="{A0FB6A25-CF29-3497-7D13-6D344099319D}"/>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63" name="Oval 8">
            <a:hlinkClick xmlns:r="http://schemas.openxmlformats.org/officeDocument/2006/relationships" r:id="rId3"/>
            <a:extLst>
              <a:ext uri="{FF2B5EF4-FFF2-40B4-BE49-F238E27FC236}">
                <a16:creationId xmlns:a16="http://schemas.microsoft.com/office/drawing/2014/main" id="{82B248DD-B3D8-E0C6-81E4-5B8F7AD4C12A}"/>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64" name="Graphic 9" descr="Home with solid fill">
            <a:hlinkClick xmlns:r="http://schemas.openxmlformats.org/officeDocument/2006/relationships" r:id="rId4"/>
            <a:extLst>
              <a:ext uri="{FF2B5EF4-FFF2-40B4-BE49-F238E27FC236}">
                <a16:creationId xmlns:a16="http://schemas.microsoft.com/office/drawing/2014/main" id="{A3351AE0-9918-DC6C-4F80-5A5D274C111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65" name="Graphic 10" descr="User outline">
            <a:hlinkClick xmlns:r="http://schemas.openxmlformats.org/officeDocument/2006/relationships" r:id="rId7"/>
            <a:extLst>
              <a:ext uri="{FF2B5EF4-FFF2-40B4-BE49-F238E27FC236}">
                <a16:creationId xmlns:a16="http://schemas.microsoft.com/office/drawing/2014/main" id="{21646A83-F675-3042-7C01-AC74BED3BEFC}"/>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27.xml><?xml version="1.0" encoding="utf-8"?>
<xdr:wsDr xmlns:xdr="http://schemas.openxmlformats.org/drawingml/2006/spreadsheetDrawing" xmlns:a="http://schemas.openxmlformats.org/drawingml/2006/main">
  <xdr:twoCellAnchor>
    <xdr:from>
      <xdr:col>3</xdr:col>
      <xdr:colOff>305919</xdr:colOff>
      <xdr:row>89</xdr:row>
      <xdr:rowOff>118259</xdr:rowOff>
    </xdr:from>
    <xdr:to>
      <xdr:col>26</xdr:col>
      <xdr:colOff>537059</xdr:colOff>
      <xdr:row>104</xdr:row>
      <xdr:rowOff>47437</xdr:rowOff>
    </xdr:to>
    <xdr:graphicFrame macro="">
      <xdr:nvGraphicFramePr>
        <xdr:cNvPr id="4" name="Diagram 3">
          <a:extLst>
            <a:ext uri="{FF2B5EF4-FFF2-40B4-BE49-F238E27FC236}">
              <a16:creationId xmlns:a16="http://schemas.microsoft.com/office/drawing/2014/main" id="{E911B638-E2C9-4845-80C4-AD2644BC3AB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editAs="oneCell">
    <xdr:from>
      <xdr:col>5</xdr:col>
      <xdr:colOff>657412</xdr:colOff>
      <xdr:row>4</xdr:row>
      <xdr:rowOff>89647</xdr:rowOff>
    </xdr:from>
    <xdr:to>
      <xdr:col>18</xdr:col>
      <xdr:colOff>40657</xdr:colOff>
      <xdr:row>34</xdr:row>
      <xdr:rowOff>40714</xdr:rowOff>
    </xdr:to>
    <xdr:pic>
      <xdr:nvPicPr>
        <xdr:cNvPr id="10" name="Picture 9">
          <a:extLst>
            <a:ext uri="{FF2B5EF4-FFF2-40B4-BE49-F238E27FC236}">
              <a16:creationId xmlns:a16="http://schemas.microsoft.com/office/drawing/2014/main" id="{DEDA72DD-8761-4A3A-ACA7-40801498652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559177" y="918882"/>
          <a:ext cx="9845730" cy="5580380"/>
        </a:xfrm>
        <a:prstGeom prst="rect">
          <a:avLst/>
        </a:prstGeom>
      </xdr:spPr>
    </xdr:pic>
    <xdr:clientData/>
  </xdr:twoCellAnchor>
  <xdr:twoCellAnchor editAs="oneCell">
    <xdr:from>
      <xdr:col>25</xdr:col>
      <xdr:colOff>321236</xdr:colOff>
      <xdr:row>4</xdr:row>
      <xdr:rowOff>67235</xdr:rowOff>
    </xdr:from>
    <xdr:to>
      <xdr:col>27</xdr:col>
      <xdr:colOff>498961</xdr:colOff>
      <xdr:row>12</xdr:row>
      <xdr:rowOff>79304</xdr:rowOff>
    </xdr:to>
    <xdr:pic>
      <xdr:nvPicPr>
        <xdr:cNvPr id="11" name="Picture 10">
          <a:extLst>
            <a:ext uri="{FF2B5EF4-FFF2-40B4-BE49-F238E27FC236}">
              <a16:creationId xmlns:a16="http://schemas.microsoft.com/office/drawing/2014/main" id="{46A0C2DC-58E8-4276-87D0-BAF764BA2910}"/>
            </a:ext>
          </a:extLst>
        </xdr:cNvPr>
        <xdr:cNvPicPr>
          <a:picLocks noChangeAspect="1"/>
        </xdr:cNvPicPr>
      </xdr:nvPicPr>
      <xdr:blipFill>
        <a:blip xmlns:r="http://schemas.openxmlformats.org/officeDocument/2006/relationships" r:embed="rId14"/>
        <a:stretch>
          <a:fillRect/>
        </a:stretch>
      </xdr:blipFill>
      <xdr:spPr>
        <a:xfrm>
          <a:off x="20977412" y="896470"/>
          <a:ext cx="1402902" cy="151761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305919</xdr:colOff>
      <xdr:row>85</xdr:row>
      <xdr:rowOff>89497</xdr:rowOff>
    </xdr:from>
    <xdr:to>
      <xdr:col>4</xdr:col>
      <xdr:colOff>2779805</xdr:colOff>
      <xdr:row>90</xdr:row>
      <xdr:rowOff>38623</xdr:rowOff>
    </xdr:to>
    <xdr:sp macro="" textlink="">
      <xdr:nvSpPr>
        <xdr:cNvPr id="12" name="TextBox 11">
          <a:extLst>
            <a:ext uri="{FF2B5EF4-FFF2-40B4-BE49-F238E27FC236}">
              <a16:creationId xmlns:a16="http://schemas.microsoft.com/office/drawing/2014/main" id="{ED81D14D-6703-5AF1-4F53-C67482452BEC}"/>
            </a:ext>
          </a:extLst>
        </xdr:cNvPr>
        <xdr:cNvSpPr txBox="1"/>
      </xdr:nvSpPr>
      <xdr:spPr>
        <a:xfrm>
          <a:off x="828860" y="19034909"/>
          <a:ext cx="3938121" cy="882949"/>
        </a:xfrm>
        <a:prstGeom prst="round2DiagRect">
          <a:avLst/>
        </a:prstGeom>
        <a:solidFill>
          <a:schemeClr val="bg1"/>
        </a:solidFill>
        <a:ln w="9525" cmpd="sng">
          <a:solidFill>
            <a:schemeClr val="bg1">
              <a:lumMod val="95000"/>
            </a:schemeClr>
          </a:solidFill>
        </a:ln>
        <a:effectLst>
          <a:glow rad="101600">
            <a:schemeClr val="bg1">
              <a:lumMod val="95000"/>
              <a:alpha val="60000"/>
            </a:scheme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100" b="0" i="0" u="none" strike="noStrike">
              <a:solidFill>
                <a:schemeClr val="dk1"/>
              </a:solidFill>
              <a:effectLst/>
              <a:latin typeface="+mn-lt"/>
              <a:ea typeface="+mn-ea"/>
              <a:cs typeface="+mn-cs"/>
            </a:rPr>
            <a:t>Full Scale Business Function Test</a:t>
          </a:r>
          <a:r>
            <a:rPr lang="en-AU"/>
            <a:t> </a:t>
          </a:r>
        </a:p>
        <a:p>
          <a:r>
            <a:rPr lang="en-AU" sz="1100" b="0" i="0" u="none" strike="noStrike">
              <a:solidFill>
                <a:schemeClr val="dk1"/>
              </a:solidFill>
              <a:effectLst/>
              <a:latin typeface="+mn-lt"/>
              <a:ea typeface="+mn-ea"/>
              <a:cs typeface="+mn-cs"/>
            </a:rPr>
            <a:t>App Service Fault Injection</a:t>
          </a:r>
          <a:r>
            <a:rPr lang="en-AU"/>
            <a:t> </a:t>
          </a:r>
        </a:p>
        <a:p>
          <a:endParaRPr lang="en-AU" sz="1100" b="0" i="0" u="none" strike="noStrike">
            <a:solidFill>
              <a:schemeClr val="dk1"/>
            </a:solidFill>
            <a:effectLst/>
            <a:latin typeface="+mn-lt"/>
            <a:ea typeface="+mn-ea"/>
            <a:cs typeface="+mn-cs"/>
          </a:endParaRPr>
        </a:p>
        <a:p>
          <a:r>
            <a:rPr lang="en-AU" sz="1100" b="0" i="0" u="none" strike="noStrike">
              <a:solidFill>
                <a:schemeClr val="dk1"/>
              </a:solidFill>
              <a:effectLst/>
              <a:latin typeface="+mn-lt"/>
              <a:ea typeface="+mn-ea"/>
              <a:cs typeface="+mn-cs"/>
            </a:rPr>
            <a:t>Failover to Standby Region</a:t>
          </a:r>
          <a:endParaRPr lang="en-AU" sz="1100"/>
        </a:p>
      </xdr:txBody>
    </xdr:sp>
    <xdr:clientData/>
  </xdr:twoCellAnchor>
  <xdr:twoCellAnchor>
    <xdr:from>
      <xdr:col>3</xdr:col>
      <xdr:colOff>290977</xdr:colOff>
      <xdr:row>114</xdr:row>
      <xdr:rowOff>151951</xdr:rowOff>
    </xdr:from>
    <xdr:to>
      <xdr:col>4</xdr:col>
      <xdr:colOff>2763593</xdr:colOff>
      <xdr:row>118</xdr:row>
      <xdr:rowOff>150830</xdr:rowOff>
    </xdr:to>
    <xdr:sp macro="" textlink="">
      <xdr:nvSpPr>
        <xdr:cNvPr id="13" name="TextBox 12">
          <a:extLst>
            <a:ext uri="{FF2B5EF4-FFF2-40B4-BE49-F238E27FC236}">
              <a16:creationId xmlns:a16="http://schemas.microsoft.com/office/drawing/2014/main" id="{571A9CCD-00EB-5FE0-F147-74BCF44F60AA}"/>
            </a:ext>
          </a:extLst>
        </xdr:cNvPr>
        <xdr:cNvSpPr txBox="1"/>
      </xdr:nvSpPr>
      <xdr:spPr>
        <a:xfrm>
          <a:off x="813918" y="29503892"/>
          <a:ext cx="3936851" cy="745938"/>
        </a:xfrm>
        <a:prstGeom prst="round2DiagRect">
          <a:avLst/>
        </a:prstGeom>
        <a:solidFill>
          <a:schemeClr val="bg1"/>
        </a:solidFill>
        <a:ln w="9525" cmpd="sng">
          <a:solidFill>
            <a:schemeClr val="bg1">
              <a:lumMod val="95000"/>
            </a:schemeClr>
          </a:solidFill>
        </a:ln>
        <a:effectLst>
          <a:glow rad="101600">
            <a:schemeClr val="bg1">
              <a:lumMod val="95000"/>
              <a:alpha val="60000"/>
            </a:scheme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AU" sz="1100" b="0" i="0" u="none" strike="noStrike">
              <a:solidFill>
                <a:schemeClr val="dk1"/>
              </a:solidFill>
              <a:effectLst/>
              <a:latin typeface="+mn-lt"/>
              <a:ea typeface="+mn-ea"/>
              <a:cs typeface="+mn-cs"/>
            </a:rPr>
            <a:t>Full Scale Business Function Test</a:t>
          </a:r>
        </a:p>
        <a:p>
          <a:pPr marL="0" indent="0"/>
          <a:endParaRPr lang="en-AU" sz="1100" b="0" i="0" u="none" strike="noStrike">
            <a:solidFill>
              <a:schemeClr val="dk1"/>
            </a:solidFill>
            <a:effectLst/>
            <a:latin typeface="+mn-lt"/>
            <a:ea typeface="+mn-ea"/>
            <a:cs typeface="+mn-cs"/>
          </a:endParaRPr>
        </a:p>
        <a:p>
          <a:pPr marL="0" indent="0"/>
          <a:r>
            <a:rPr lang="en-AU" sz="1100" b="0" i="0" u="none" strike="noStrike">
              <a:solidFill>
                <a:schemeClr val="dk1"/>
              </a:solidFill>
              <a:effectLst/>
              <a:latin typeface="+mn-lt"/>
              <a:ea typeface="+mn-ea"/>
              <a:cs typeface="+mn-cs"/>
            </a:rPr>
            <a:t>Failback to Primary Region </a:t>
          </a:r>
        </a:p>
      </xdr:txBody>
    </xdr:sp>
    <xdr:clientData/>
  </xdr:twoCellAnchor>
  <xdr:twoCellAnchor>
    <xdr:from>
      <xdr:col>3</xdr:col>
      <xdr:colOff>305919</xdr:colOff>
      <xdr:row>118</xdr:row>
      <xdr:rowOff>61035</xdr:rowOff>
    </xdr:from>
    <xdr:to>
      <xdr:col>26</xdr:col>
      <xdr:colOff>537059</xdr:colOff>
      <xdr:row>132</xdr:row>
      <xdr:rowOff>176977</xdr:rowOff>
    </xdr:to>
    <xdr:graphicFrame macro="">
      <xdr:nvGraphicFramePr>
        <xdr:cNvPr id="14" name="Diagram 13">
          <a:extLst>
            <a:ext uri="{FF2B5EF4-FFF2-40B4-BE49-F238E27FC236}">
              <a16:creationId xmlns:a16="http://schemas.microsoft.com/office/drawing/2014/main" id="{BB11716F-1B86-FE67-7C20-B8ACF8D51AC4}"/>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8" r:lo="rId9" r:qs="rId10" r:cs="rId11"/>
        </a:graphicData>
      </a:graphic>
    </xdr:graphicFrame>
    <xdr:clientData/>
  </xdr:twoCellAnchor>
  <xdr:twoCellAnchor>
    <xdr:from>
      <xdr:col>2</xdr:col>
      <xdr:colOff>134470</xdr:colOff>
      <xdr:row>59</xdr:row>
      <xdr:rowOff>37353</xdr:rowOff>
    </xdr:from>
    <xdr:to>
      <xdr:col>6</xdr:col>
      <xdr:colOff>910889</xdr:colOff>
      <xdr:row>82</xdr:row>
      <xdr:rowOff>116280</xdr:rowOff>
    </xdr:to>
    <xdr:pic>
      <xdr:nvPicPr>
        <xdr:cNvPr id="18" name="Picture 17">
          <a:extLst>
            <a:ext uri="{FF2B5EF4-FFF2-40B4-BE49-F238E27FC236}">
              <a16:creationId xmlns:a16="http://schemas.microsoft.com/office/drawing/2014/main" id="{E72C2EAE-C86E-1277-380C-276F593AEE2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95941" y="18982765"/>
          <a:ext cx="7771130" cy="4371975"/>
        </a:xfrm>
        <a:prstGeom prst="rect">
          <a:avLst/>
        </a:prstGeom>
      </xdr:spPr>
    </xdr:pic>
    <xdr:clientData/>
  </xdr:twoCellAnchor>
  <xdr:twoCellAnchor>
    <xdr:from>
      <xdr:col>0</xdr:col>
      <xdr:colOff>74706</xdr:colOff>
      <xdr:row>0</xdr:row>
      <xdr:rowOff>82177</xdr:rowOff>
    </xdr:from>
    <xdr:to>
      <xdr:col>1</xdr:col>
      <xdr:colOff>317957</xdr:colOff>
      <xdr:row>3</xdr:row>
      <xdr:rowOff>96180</xdr:rowOff>
    </xdr:to>
    <xdr:grpSp>
      <xdr:nvGrpSpPr>
        <xdr:cNvPr id="19" name="Group 1">
          <a:extLst>
            <a:ext uri="{FF2B5EF4-FFF2-40B4-BE49-F238E27FC236}">
              <a16:creationId xmlns:a16="http://schemas.microsoft.com/office/drawing/2014/main" id="{2D1FBF96-F454-400C-A704-396752930524}"/>
            </a:ext>
          </a:extLst>
        </xdr:cNvPr>
        <xdr:cNvGrpSpPr/>
      </xdr:nvGrpSpPr>
      <xdr:grpSpPr>
        <a:xfrm>
          <a:off x="74706" y="82177"/>
          <a:ext cx="633776" cy="642653"/>
          <a:chOff x="8756769" y="4362234"/>
          <a:chExt cx="648000" cy="651646"/>
        </a:xfrm>
      </xdr:grpSpPr>
      <xdr:sp macro="" textlink="">
        <xdr:nvSpPr>
          <xdr:cNvPr id="20" name="Rectangle 7">
            <a:extLst>
              <a:ext uri="{FF2B5EF4-FFF2-40B4-BE49-F238E27FC236}">
                <a16:creationId xmlns:a16="http://schemas.microsoft.com/office/drawing/2014/main" id="{18C0E3BD-E0E5-8AC0-86F1-42C158FDBC90}"/>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21" name="Oval 8">
            <a:hlinkClick xmlns:r="http://schemas.openxmlformats.org/officeDocument/2006/relationships" r:id="rId16"/>
            <a:extLst>
              <a:ext uri="{FF2B5EF4-FFF2-40B4-BE49-F238E27FC236}">
                <a16:creationId xmlns:a16="http://schemas.microsoft.com/office/drawing/2014/main" id="{A4DB6923-DF0B-A723-870E-2C7741B57B98}"/>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22" name="Oval 14">
            <a:hlinkClick xmlns:r="http://schemas.openxmlformats.org/officeDocument/2006/relationships" r:id="rId17"/>
            <a:extLst>
              <a:ext uri="{FF2B5EF4-FFF2-40B4-BE49-F238E27FC236}">
                <a16:creationId xmlns:a16="http://schemas.microsoft.com/office/drawing/2014/main" id="{0364AA2A-14F9-9D3A-9F4F-3D76D7E8ABBE}"/>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23" name="Graphic 15" descr="Home with solid fill">
            <a:hlinkClick xmlns:r="http://schemas.openxmlformats.org/officeDocument/2006/relationships" r:id="rId18"/>
            <a:extLst>
              <a:ext uri="{FF2B5EF4-FFF2-40B4-BE49-F238E27FC236}">
                <a16:creationId xmlns:a16="http://schemas.microsoft.com/office/drawing/2014/main" id="{03F5D902-7450-22F0-A3C8-772877584208}"/>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24" name="Graphic 16" descr="User outline">
            <a:hlinkClick xmlns:r="http://schemas.openxmlformats.org/officeDocument/2006/relationships" r:id="rId21"/>
            <a:extLst>
              <a:ext uri="{FF2B5EF4-FFF2-40B4-BE49-F238E27FC236}">
                <a16:creationId xmlns:a16="http://schemas.microsoft.com/office/drawing/2014/main" id="{5278CF41-52DE-6201-FDAF-1060B186667E}"/>
              </a:ext>
            </a:extLst>
          </xdr:cNvPr>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28.xml><?xml version="1.0" encoding="utf-8"?>
<xdr:wsDr xmlns:xdr="http://schemas.openxmlformats.org/drawingml/2006/spreadsheetDrawing" xmlns:a="http://schemas.openxmlformats.org/drawingml/2006/main">
  <xdr:twoCellAnchor>
    <xdr:from>
      <xdr:col>3</xdr:col>
      <xdr:colOff>292100</xdr:colOff>
      <xdr:row>57</xdr:row>
      <xdr:rowOff>58420</xdr:rowOff>
    </xdr:from>
    <xdr:to>
      <xdr:col>26</xdr:col>
      <xdr:colOff>527050</xdr:colOff>
      <xdr:row>76</xdr:row>
      <xdr:rowOff>80010</xdr:rowOff>
    </xdr:to>
    <xdr:graphicFrame macro="">
      <xdr:nvGraphicFramePr>
        <xdr:cNvPr id="2" name="Diagram 1">
          <a:extLst>
            <a:ext uri="{FF2B5EF4-FFF2-40B4-BE49-F238E27FC236}">
              <a16:creationId xmlns:a16="http://schemas.microsoft.com/office/drawing/2014/main" id="{3BCCD062-08F7-48F6-8577-6D1D2870B4EE}"/>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editAs="oneCell">
    <xdr:from>
      <xdr:col>25</xdr:col>
      <xdr:colOff>209550</xdr:colOff>
      <xdr:row>4</xdr:row>
      <xdr:rowOff>63500</xdr:rowOff>
    </xdr:from>
    <xdr:to>
      <xdr:col>27</xdr:col>
      <xdr:colOff>383541</xdr:colOff>
      <xdr:row>12</xdr:row>
      <xdr:rowOff>79379</xdr:rowOff>
    </xdr:to>
    <xdr:pic>
      <xdr:nvPicPr>
        <xdr:cNvPr id="3" name="Picture 2">
          <a:extLst>
            <a:ext uri="{FF2B5EF4-FFF2-40B4-BE49-F238E27FC236}">
              <a16:creationId xmlns:a16="http://schemas.microsoft.com/office/drawing/2014/main" id="{D7CFB6CE-773C-42E3-AB45-D0B38AA57268}"/>
            </a:ext>
          </a:extLst>
        </xdr:cNvPr>
        <xdr:cNvPicPr>
          <a:picLocks noChangeAspect="1"/>
        </xdr:cNvPicPr>
      </xdr:nvPicPr>
      <xdr:blipFill>
        <a:blip xmlns:r="http://schemas.openxmlformats.org/officeDocument/2006/relationships" r:embed="rId6"/>
        <a:stretch>
          <a:fillRect/>
        </a:stretch>
      </xdr:blipFill>
      <xdr:spPr>
        <a:xfrm>
          <a:off x="18300700" y="882650"/>
          <a:ext cx="1404621" cy="14890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5</xdr:col>
      <xdr:colOff>526964</xdr:colOff>
      <xdr:row>4</xdr:row>
      <xdr:rowOff>81280</xdr:rowOff>
    </xdr:from>
    <xdr:to>
      <xdr:col>18</xdr:col>
      <xdr:colOff>117232</xdr:colOff>
      <xdr:row>34</xdr:row>
      <xdr:rowOff>116840</xdr:rowOff>
    </xdr:to>
    <xdr:pic>
      <xdr:nvPicPr>
        <xdr:cNvPr id="5" name="Picture 4">
          <a:extLst>
            <a:ext uri="{FF2B5EF4-FFF2-40B4-BE49-F238E27FC236}">
              <a16:creationId xmlns:a16="http://schemas.microsoft.com/office/drawing/2014/main" id="{21AAD024-1423-6B00-41D7-3DBF5D717E9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534064" y="900430"/>
          <a:ext cx="9901399" cy="5589270"/>
        </a:xfrm>
        <a:prstGeom prst="rect">
          <a:avLst/>
        </a:prstGeom>
      </xdr:spPr>
    </xdr:pic>
    <xdr:clientData/>
  </xdr:twoCellAnchor>
  <xdr:twoCellAnchor>
    <xdr:from>
      <xdr:col>0</xdr:col>
      <xdr:colOff>59764</xdr:colOff>
      <xdr:row>0</xdr:row>
      <xdr:rowOff>59765</xdr:rowOff>
    </xdr:from>
    <xdr:to>
      <xdr:col>1</xdr:col>
      <xdr:colOff>303015</xdr:colOff>
      <xdr:row>3</xdr:row>
      <xdr:rowOff>66297</xdr:rowOff>
    </xdr:to>
    <xdr:grpSp>
      <xdr:nvGrpSpPr>
        <xdr:cNvPr id="15" name="Group 3">
          <a:extLst>
            <a:ext uri="{FF2B5EF4-FFF2-40B4-BE49-F238E27FC236}">
              <a16:creationId xmlns:a16="http://schemas.microsoft.com/office/drawing/2014/main" id="{2F5A11DA-78D8-4769-9597-1C7BBE7004FC}"/>
            </a:ext>
          </a:extLst>
        </xdr:cNvPr>
        <xdr:cNvGrpSpPr/>
      </xdr:nvGrpSpPr>
      <xdr:grpSpPr>
        <a:xfrm>
          <a:off x="59764" y="59765"/>
          <a:ext cx="633776" cy="635182"/>
          <a:chOff x="8756769" y="4362234"/>
          <a:chExt cx="648000" cy="651646"/>
        </a:xfrm>
      </xdr:grpSpPr>
      <xdr:sp macro="" textlink="">
        <xdr:nvSpPr>
          <xdr:cNvPr id="16" name="Rectangle 9">
            <a:extLst>
              <a:ext uri="{FF2B5EF4-FFF2-40B4-BE49-F238E27FC236}">
                <a16:creationId xmlns:a16="http://schemas.microsoft.com/office/drawing/2014/main" id="{C014EA6D-7D36-CE76-FF9E-E0566769F326}"/>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7" name="Oval 10">
            <a:hlinkClick xmlns:r="http://schemas.openxmlformats.org/officeDocument/2006/relationships" r:id="rId8"/>
            <a:extLst>
              <a:ext uri="{FF2B5EF4-FFF2-40B4-BE49-F238E27FC236}">
                <a16:creationId xmlns:a16="http://schemas.microsoft.com/office/drawing/2014/main" id="{F151D558-FA81-7C10-E2A5-FD54DC241FA0}"/>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8" name="Oval 11">
            <a:hlinkClick xmlns:r="http://schemas.openxmlformats.org/officeDocument/2006/relationships" r:id="rId9"/>
            <a:extLst>
              <a:ext uri="{FF2B5EF4-FFF2-40B4-BE49-F238E27FC236}">
                <a16:creationId xmlns:a16="http://schemas.microsoft.com/office/drawing/2014/main" id="{26057AD7-FCFF-FD5F-B8DF-740E6F429EC8}"/>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9" name="Graphic 12" descr="Home with solid fill">
            <a:hlinkClick xmlns:r="http://schemas.openxmlformats.org/officeDocument/2006/relationships" r:id="rId10"/>
            <a:extLst>
              <a:ext uri="{FF2B5EF4-FFF2-40B4-BE49-F238E27FC236}">
                <a16:creationId xmlns:a16="http://schemas.microsoft.com/office/drawing/2014/main" id="{6D30F202-8138-1ED6-95C1-859ADD15699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20" name="Graphic 13" descr="User outline">
            <a:hlinkClick xmlns:r="http://schemas.openxmlformats.org/officeDocument/2006/relationships" r:id="rId13"/>
            <a:extLst>
              <a:ext uri="{FF2B5EF4-FFF2-40B4-BE49-F238E27FC236}">
                <a16:creationId xmlns:a16="http://schemas.microsoft.com/office/drawing/2014/main" id="{81527256-E3A0-F9D6-9E86-23F5261CBACF}"/>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29.xml><?xml version="1.0" encoding="utf-8"?>
<xdr:wsDr xmlns:xdr="http://schemas.openxmlformats.org/drawingml/2006/spreadsheetDrawing" xmlns:a="http://schemas.openxmlformats.org/drawingml/2006/main">
  <xdr:twoCellAnchor editAs="oneCell">
    <xdr:from>
      <xdr:col>9</xdr:col>
      <xdr:colOff>155313</xdr:colOff>
      <xdr:row>4</xdr:row>
      <xdr:rowOff>68357</xdr:rowOff>
    </xdr:from>
    <xdr:to>
      <xdr:col>9</xdr:col>
      <xdr:colOff>1558664</xdr:colOff>
      <xdr:row>12</xdr:row>
      <xdr:rowOff>73478</xdr:rowOff>
    </xdr:to>
    <xdr:pic>
      <xdr:nvPicPr>
        <xdr:cNvPr id="2" name="Picture 1">
          <a:extLst>
            <a:ext uri="{FF2B5EF4-FFF2-40B4-BE49-F238E27FC236}">
              <a16:creationId xmlns:a16="http://schemas.microsoft.com/office/drawing/2014/main" id="{F10C881C-2B99-4964-9955-5C1735EAC667}"/>
            </a:ext>
          </a:extLst>
        </xdr:cNvPr>
        <xdr:cNvPicPr>
          <a:picLocks noChangeAspect="1"/>
        </xdr:cNvPicPr>
      </xdr:nvPicPr>
      <xdr:blipFill>
        <a:blip xmlns:r="http://schemas.openxmlformats.org/officeDocument/2006/relationships" r:embed="rId1"/>
        <a:stretch>
          <a:fillRect/>
        </a:stretch>
      </xdr:blipFill>
      <xdr:spPr>
        <a:xfrm>
          <a:off x="15312763" y="887507"/>
          <a:ext cx="1393191" cy="147197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69850</xdr:colOff>
      <xdr:row>0</xdr:row>
      <xdr:rowOff>57150</xdr:rowOff>
    </xdr:from>
    <xdr:to>
      <xdr:col>1</xdr:col>
      <xdr:colOff>310113</xdr:colOff>
      <xdr:row>3</xdr:row>
      <xdr:rowOff>77503</xdr:rowOff>
    </xdr:to>
    <xdr:grpSp>
      <xdr:nvGrpSpPr>
        <xdr:cNvPr id="13" name="Group 2">
          <a:extLst>
            <a:ext uri="{FF2B5EF4-FFF2-40B4-BE49-F238E27FC236}">
              <a16:creationId xmlns:a16="http://schemas.microsoft.com/office/drawing/2014/main" id="{13E457C5-AF73-4831-9232-56FB65F600B5}"/>
            </a:ext>
          </a:extLst>
        </xdr:cNvPr>
        <xdr:cNvGrpSpPr/>
      </xdr:nvGrpSpPr>
      <xdr:grpSpPr>
        <a:xfrm>
          <a:off x="69850" y="57150"/>
          <a:ext cx="630788" cy="649003"/>
          <a:chOff x="8756769" y="4362234"/>
          <a:chExt cx="648000" cy="651646"/>
        </a:xfrm>
      </xdr:grpSpPr>
      <xdr:sp macro="" textlink="">
        <xdr:nvSpPr>
          <xdr:cNvPr id="14" name="Rectangle 7">
            <a:extLst>
              <a:ext uri="{FF2B5EF4-FFF2-40B4-BE49-F238E27FC236}">
                <a16:creationId xmlns:a16="http://schemas.microsoft.com/office/drawing/2014/main" id="{04C088F0-D412-4E59-ED0F-F98F2885CA08}"/>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A5E72D7E-8A98-30A3-5038-900AA88CA8E1}"/>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3"/>
            <a:extLst>
              <a:ext uri="{FF2B5EF4-FFF2-40B4-BE49-F238E27FC236}">
                <a16:creationId xmlns:a16="http://schemas.microsoft.com/office/drawing/2014/main" id="{A75721C9-3CA5-2F8C-1319-110A8121A32E}"/>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4"/>
            <a:extLst>
              <a:ext uri="{FF2B5EF4-FFF2-40B4-BE49-F238E27FC236}">
                <a16:creationId xmlns:a16="http://schemas.microsoft.com/office/drawing/2014/main" id="{10BEEB02-032B-1420-00B7-C3111EC650E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7"/>
            <a:extLst>
              <a:ext uri="{FF2B5EF4-FFF2-40B4-BE49-F238E27FC236}">
                <a16:creationId xmlns:a16="http://schemas.microsoft.com/office/drawing/2014/main" id="{781C68F8-62BD-67CF-0057-64AC758FF37B}"/>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63500</xdr:colOff>
      <xdr:row>0</xdr:row>
      <xdr:rowOff>76200</xdr:rowOff>
    </xdr:from>
    <xdr:to>
      <xdr:col>1</xdr:col>
      <xdr:colOff>303763</xdr:colOff>
      <xdr:row>3</xdr:row>
      <xdr:rowOff>90203</xdr:rowOff>
    </xdr:to>
    <xdr:grpSp>
      <xdr:nvGrpSpPr>
        <xdr:cNvPr id="12" name="Group 1">
          <a:extLst>
            <a:ext uri="{FF2B5EF4-FFF2-40B4-BE49-F238E27FC236}">
              <a16:creationId xmlns:a16="http://schemas.microsoft.com/office/drawing/2014/main" id="{2009423E-52F6-4A6A-8895-F928DDBBFB01}"/>
            </a:ext>
          </a:extLst>
        </xdr:cNvPr>
        <xdr:cNvGrpSpPr/>
      </xdr:nvGrpSpPr>
      <xdr:grpSpPr>
        <a:xfrm>
          <a:off x="63500" y="76200"/>
          <a:ext cx="630788" cy="642653"/>
          <a:chOff x="8756769" y="4362234"/>
          <a:chExt cx="648000" cy="651646"/>
        </a:xfrm>
      </xdr:grpSpPr>
      <xdr:sp macro="" textlink="">
        <xdr:nvSpPr>
          <xdr:cNvPr id="13" name="Rectangle 6">
            <a:extLst>
              <a:ext uri="{FF2B5EF4-FFF2-40B4-BE49-F238E27FC236}">
                <a16:creationId xmlns:a16="http://schemas.microsoft.com/office/drawing/2014/main" id="{05999E2D-39E2-F41B-D785-CD07E62D0D57}"/>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4" name="Oval 7">
            <a:hlinkClick xmlns:r="http://schemas.openxmlformats.org/officeDocument/2006/relationships" r:id="rId1"/>
            <a:extLst>
              <a:ext uri="{FF2B5EF4-FFF2-40B4-BE49-F238E27FC236}">
                <a16:creationId xmlns:a16="http://schemas.microsoft.com/office/drawing/2014/main" id="{B90DA09C-196A-EC4D-E8A4-F9FDE77D5A40}"/>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F8B12BB4-1E8F-188E-C323-C302DB765820}"/>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6" name="Graphic 9" descr="Home with solid fill">
            <a:hlinkClick xmlns:r="http://schemas.openxmlformats.org/officeDocument/2006/relationships" r:id="rId3"/>
            <a:extLst>
              <a:ext uri="{FF2B5EF4-FFF2-40B4-BE49-F238E27FC236}">
                <a16:creationId xmlns:a16="http://schemas.microsoft.com/office/drawing/2014/main" id="{ECE3039B-4786-5E31-7C86-4127C0AF511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7" name="Graphic 10" descr="User outline">
            <a:hlinkClick xmlns:r="http://schemas.openxmlformats.org/officeDocument/2006/relationships" r:id="rId6"/>
            <a:extLst>
              <a:ext uri="{FF2B5EF4-FFF2-40B4-BE49-F238E27FC236}">
                <a16:creationId xmlns:a16="http://schemas.microsoft.com/office/drawing/2014/main" id="{48AC3DE4-EB7A-D972-62B0-228E091EE13E}"/>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0.xml><?xml version="1.0" encoding="utf-8"?>
<xdr:wsDr xmlns:xdr="http://schemas.openxmlformats.org/drawingml/2006/spreadsheetDrawing" xmlns:a="http://schemas.openxmlformats.org/drawingml/2006/main">
  <xdr:twoCellAnchor editAs="oneCell">
    <xdr:from>
      <xdr:col>10</xdr:col>
      <xdr:colOff>717550</xdr:colOff>
      <xdr:row>4</xdr:row>
      <xdr:rowOff>44226</xdr:rowOff>
    </xdr:from>
    <xdr:to>
      <xdr:col>11</xdr:col>
      <xdr:colOff>237491</xdr:colOff>
      <xdr:row>12</xdr:row>
      <xdr:rowOff>48077</xdr:rowOff>
    </xdr:to>
    <xdr:pic>
      <xdr:nvPicPr>
        <xdr:cNvPr id="4" name="Picture 3">
          <a:extLst>
            <a:ext uri="{FF2B5EF4-FFF2-40B4-BE49-F238E27FC236}">
              <a16:creationId xmlns:a16="http://schemas.microsoft.com/office/drawing/2014/main" id="{34FC4B36-4ABE-4567-A098-CFC30F0F3EDB}"/>
            </a:ext>
          </a:extLst>
        </xdr:cNvPr>
        <xdr:cNvPicPr>
          <a:picLocks noChangeAspect="1"/>
        </xdr:cNvPicPr>
      </xdr:nvPicPr>
      <xdr:blipFill>
        <a:blip xmlns:r="http://schemas.openxmlformats.org/officeDocument/2006/relationships" r:embed="rId15"/>
        <a:stretch>
          <a:fillRect/>
        </a:stretch>
      </xdr:blipFill>
      <xdr:spPr>
        <a:xfrm>
          <a:off x="13900150" y="850676"/>
          <a:ext cx="1431291" cy="142625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76200</xdr:colOff>
      <xdr:row>0</xdr:row>
      <xdr:rowOff>69850</xdr:rowOff>
    </xdr:from>
    <xdr:to>
      <xdr:col>1</xdr:col>
      <xdr:colOff>316463</xdr:colOff>
      <xdr:row>3</xdr:row>
      <xdr:rowOff>90203</xdr:rowOff>
    </xdr:to>
    <xdr:grpSp>
      <xdr:nvGrpSpPr>
        <xdr:cNvPr id="13" name="Group 1">
          <a:extLst>
            <a:ext uri="{FF2B5EF4-FFF2-40B4-BE49-F238E27FC236}">
              <a16:creationId xmlns:a16="http://schemas.microsoft.com/office/drawing/2014/main" id="{BB88FEC1-0625-47B6-A7B9-D37533D29AA6}"/>
            </a:ext>
          </a:extLst>
        </xdr:cNvPr>
        <xdr:cNvGrpSpPr/>
      </xdr:nvGrpSpPr>
      <xdr:grpSpPr>
        <a:xfrm>
          <a:off x="76200" y="69850"/>
          <a:ext cx="630788" cy="649003"/>
          <a:chOff x="8756769" y="4362234"/>
          <a:chExt cx="648000" cy="651646"/>
        </a:xfrm>
      </xdr:grpSpPr>
      <xdr:sp macro="" textlink="">
        <xdr:nvSpPr>
          <xdr:cNvPr id="14" name="Rectangle 7">
            <a:extLst>
              <a:ext uri="{FF2B5EF4-FFF2-40B4-BE49-F238E27FC236}">
                <a16:creationId xmlns:a16="http://schemas.microsoft.com/office/drawing/2014/main" id="{A742D21F-EC54-628F-1FE0-6B9EB6271668}"/>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8">
            <a:hlinkClick xmlns:r="http://schemas.openxmlformats.org/officeDocument/2006/relationships" r:id="rId16"/>
            <a:extLst>
              <a:ext uri="{FF2B5EF4-FFF2-40B4-BE49-F238E27FC236}">
                <a16:creationId xmlns:a16="http://schemas.microsoft.com/office/drawing/2014/main" id="{2A51D1DE-05DB-DB6A-DE66-27FD7EB1A9A3}"/>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17"/>
            <a:extLst>
              <a:ext uri="{FF2B5EF4-FFF2-40B4-BE49-F238E27FC236}">
                <a16:creationId xmlns:a16="http://schemas.microsoft.com/office/drawing/2014/main" id="{946DB383-B1EE-2BC1-2DB9-7B2A488393AC}"/>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18"/>
            <a:extLst>
              <a:ext uri="{FF2B5EF4-FFF2-40B4-BE49-F238E27FC236}">
                <a16:creationId xmlns:a16="http://schemas.microsoft.com/office/drawing/2014/main" id="{0707236E-2221-3240-E4BE-936848A423F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21"/>
            <a:extLst>
              <a:ext uri="{FF2B5EF4-FFF2-40B4-BE49-F238E27FC236}">
                <a16:creationId xmlns:a16="http://schemas.microsoft.com/office/drawing/2014/main" id="{52C5BECC-3A58-4BC9-A4DF-58674DA73DFD}"/>
              </a:ext>
            </a:extLst>
          </xdr:cNvPr>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twoCellAnchor>
    <xdr:from>
      <xdr:col>5</xdr:col>
      <xdr:colOff>88900</xdr:colOff>
      <xdr:row>4</xdr:row>
      <xdr:rowOff>76200</xdr:rowOff>
    </xdr:from>
    <xdr:to>
      <xdr:col>10</xdr:col>
      <xdr:colOff>698500</xdr:colOff>
      <xdr:row>21</xdr:row>
      <xdr:rowOff>57150</xdr:rowOff>
    </xdr:to>
    <xdr:graphicFrame macro="">
      <xdr:nvGraphicFramePr>
        <xdr:cNvPr id="2" name="Diagram 1">
          <a:extLst>
            <a:ext uri="{FF2B5EF4-FFF2-40B4-BE49-F238E27FC236}">
              <a16:creationId xmlns:a16="http://schemas.microsoft.com/office/drawing/2014/main" id="{5FE632DE-C935-A353-687B-52225A05E023}"/>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0" r:lo="rId11" r:qs="rId12" r:cs="rId13"/>
        </a:graphicData>
      </a:graphic>
    </xdr:graphicFrame>
    <xdr:clientData/>
  </xdr:twoCellAnchor>
</xdr:wsDr>
</file>

<file path=xl/drawings/drawing31.xml><?xml version="1.0" encoding="utf-8"?>
<xdr:wsDr xmlns:xdr="http://schemas.openxmlformats.org/drawingml/2006/spreadsheetDrawing" xmlns:a="http://schemas.openxmlformats.org/drawingml/2006/main">
  <xdr:twoCellAnchor>
    <xdr:from>
      <xdr:col>2</xdr:col>
      <xdr:colOff>97790</xdr:colOff>
      <xdr:row>11</xdr:row>
      <xdr:rowOff>8890</xdr:rowOff>
    </xdr:from>
    <xdr:to>
      <xdr:col>8</xdr:col>
      <xdr:colOff>937260</xdr:colOff>
      <xdr:row>15</xdr:row>
      <xdr:rowOff>86360</xdr:rowOff>
    </xdr:to>
    <mc:AlternateContent xmlns:mc="http://schemas.openxmlformats.org/markup-compatibility/2006" xmlns:sle15="http://schemas.microsoft.com/office/drawing/2012/slicer">
      <mc:Choice Requires="sle15">
        <xdr:graphicFrame macro="">
          <xdr:nvGraphicFramePr>
            <xdr:cNvPr id="2" name="Topic 3">
              <a:extLst>
                <a:ext uri="{FF2B5EF4-FFF2-40B4-BE49-F238E27FC236}">
                  <a16:creationId xmlns:a16="http://schemas.microsoft.com/office/drawing/2014/main" id="{4D5767DE-BF06-4ED1-AA2C-92D5C72E208A}"/>
                </a:ext>
              </a:extLst>
            </xdr:cNvPr>
            <xdr:cNvGraphicFramePr/>
          </xdr:nvGraphicFramePr>
          <xdr:xfrm>
            <a:off x="0" y="0"/>
            <a:ext cx="0" cy="0"/>
          </xdr:xfrm>
          <a:graphic>
            <a:graphicData uri="http://schemas.microsoft.com/office/drawing/2010/slicer">
              <sle:slicer xmlns:sle="http://schemas.microsoft.com/office/drawing/2010/slicer" name="Topic 3"/>
            </a:graphicData>
          </a:graphic>
        </xdr:graphicFrame>
      </mc:Choice>
      <mc:Fallback xmlns="">
        <xdr:sp macro="" textlink="">
          <xdr:nvSpPr>
            <xdr:cNvPr id="0" name=""/>
            <xdr:cNvSpPr>
              <a:spLocks noTextEdit="1"/>
            </xdr:cNvSpPr>
          </xdr:nvSpPr>
          <xdr:spPr>
            <a:xfrm>
              <a:off x="496271" y="2144208"/>
              <a:ext cx="15743294" cy="824529"/>
            </a:xfrm>
            <a:prstGeom prst="rect">
              <a:avLst/>
            </a:prstGeom>
            <a:solidFill>
              <a:prstClr val="white"/>
            </a:solidFill>
            <a:ln w="1">
              <a:solidFill>
                <a:prstClr val="green"/>
              </a:solidFill>
            </a:ln>
          </xdr:spPr>
          <xdr:txBody>
            <a:bodyPr vertOverflow="clip" horzOverflow="clip"/>
            <a:lstStyle/>
            <a:p>
              <a:r>
                <a:rPr lang="en-AU"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0</xdr:col>
      <xdr:colOff>82177</xdr:colOff>
      <xdr:row>0</xdr:row>
      <xdr:rowOff>44823</xdr:rowOff>
    </xdr:from>
    <xdr:to>
      <xdr:col>1</xdr:col>
      <xdr:colOff>325428</xdr:colOff>
      <xdr:row>3</xdr:row>
      <xdr:rowOff>51355</xdr:rowOff>
    </xdr:to>
    <xdr:grpSp>
      <xdr:nvGrpSpPr>
        <xdr:cNvPr id="13" name="Group 2">
          <a:extLst>
            <a:ext uri="{FF2B5EF4-FFF2-40B4-BE49-F238E27FC236}">
              <a16:creationId xmlns:a16="http://schemas.microsoft.com/office/drawing/2014/main" id="{AEC07DB8-646A-4CE2-B108-91C50DDE5EE6}"/>
            </a:ext>
          </a:extLst>
        </xdr:cNvPr>
        <xdr:cNvGrpSpPr/>
      </xdr:nvGrpSpPr>
      <xdr:grpSpPr>
        <a:xfrm>
          <a:off x="82177" y="44823"/>
          <a:ext cx="633776" cy="635182"/>
          <a:chOff x="8756769" y="4362234"/>
          <a:chExt cx="648000" cy="651646"/>
        </a:xfrm>
      </xdr:grpSpPr>
      <xdr:sp macro="" textlink="">
        <xdr:nvSpPr>
          <xdr:cNvPr id="14" name="Rectangle 7">
            <a:extLst>
              <a:ext uri="{FF2B5EF4-FFF2-40B4-BE49-F238E27FC236}">
                <a16:creationId xmlns:a16="http://schemas.microsoft.com/office/drawing/2014/main" id="{BF5AFC75-80DA-CB71-96A0-2D5F63B709E8}"/>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8">
            <a:hlinkClick xmlns:r="http://schemas.openxmlformats.org/officeDocument/2006/relationships" r:id="rId1"/>
            <a:extLst>
              <a:ext uri="{FF2B5EF4-FFF2-40B4-BE49-F238E27FC236}">
                <a16:creationId xmlns:a16="http://schemas.microsoft.com/office/drawing/2014/main" id="{B949865A-3A90-13CB-1391-F9C9493006AA}"/>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2"/>
            <a:extLst>
              <a:ext uri="{FF2B5EF4-FFF2-40B4-BE49-F238E27FC236}">
                <a16:creationId xmlns:a16="http://schemas.microsoft.com/office/drawing/2014/main" id="{613A6F54-E2FE-5444-102F-026D6E3825F7}"/>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3"/>
            <a:extLst>
              <a:ext uri="{FF2B5EF4-FFF2-40B4-BE49-F238E27FC236}">
                <a16:creationId xmlns:a16="http://schemas.microsoft.com/office/drawing/2014/main" id="{1F9B6882-DC10-E61A-251B-8CB7314DB8B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6"/>
            <a:extLst>
              <a:ext uri="{FF2B5EF4-FFF2-40B4-BE49-F238E27FC236}">
                <a16:creationId xmlns:a16="http://schemas.microsoft.com/office/drawing/2014/main" id="{B86953D1-424C-0EB8-29C6-E60B08AC897B}"/>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2.xml><?xml version="1.0" encoding="utf-8"?>
<xdr:wsDr xmlns:xdr="http://schemas.openxmlformats.org/drawingml/2006/spreadsheetDrawing" xmlns:a="http://schemas.openxmlformats.org/drawingml/2006/main">
  <xdr:twoCellAnchor editAs="oneCell">
    <xdr:from>
      <xdr:col>4</xdr:col>
      <xdr:colOff>1210219</xdr:colOff>
      <xdr:row>16</xdr:row>
      <xdr:rowOff>523527</xdr:rowOff>
    </xdr:from>
    <xdr:to>
      <xdr:col>4</xdr:col>
      <xdr:colOff>1570219</xdr:colOff>
      <xdr:row>18</xdr:row>
      <xdr:rowOff>114056</xdr:rowOff>
    </xdr:to>
    <xdr:pic>
      <xdr:nvPicPr>
        <xdr:cNvPr id="7" name="Graphic 6" descr="Badge 5 outline">
          <a:extLst>
            <a:ext uri="{FF2B5EF4-FFF2-40B4-BE49-F238E27FC236}">
              <a16:creationId xmlns:a16="http://schemas.microsoft.com/office/drawing/2014/main" id="{D89DFDEE-CC3D-AD3D-4D32-EF4419FACC9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518631" y="3616351"/>
          <a:ext cx="360000" cy="360000"/>
        </a:xfrm>
        <a:prstGeom prst="rect">
          <a:avLst/>
        </a:prstGeom>
      </xdr:spPr>
    </xdr:pic>
    <xdr:clientData/>
  </xdr:twoCellAnchor>
  <xdr:twoCellAnchor editAs="oneCell">
    <xdr:from>
      <xdr:col>4</xdr:col>
      <xdr:colOff>910122</xdr:colOff>
      <xdr:row>16</xdr:row>
      <xdr:rowOff>523527</xdr:rowOff>
    </xdr:from>
    <xdr:to>
      <xdr:col>4</xdr:col>
      <xdr:colOff>1270122</xdr:colOff>
      <xdr:row>18</xdr:row>
      <xdr:rowOff>114056</xdr:rowOff>
    </xdr:to>
    <xdr:pic>
      <xdr:nvPicPr>
        <xdr:cNvPr id="9" name="Graphic 8" descr="Badge 4 outline">
          <a:extLst>
            <a:ext uri="{FF2B5EF4-FFF2-40B4-BE49-F238E27FC236}">
              <a16:creationId xmlns:a16="http://schemas.microsoft.com/office/drawing/2014/main" id="{2BA455B6-9F37-E71F-F4F5-3EA1676A5CF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3218534" y="3616351"/>
          <a:ext cx="360000" cy="360000"/>
        </a:xfrm>
        <a:prstGeom prst="rect">
          <a:avLst/>
        </a:prstGeom>
      </xdr:spPr>
    </xdr:pic>
    <xdr:clientData/>
  </xdr:twoCellAnchor>
  <xdr:twoCellAnchor editAs="oneCell">
    <xdr:from>
      <xdr:col>4</xdr:col>
      <xdr:colOff>610024</xdr:colOff>
      <xdr:row>16</xdr:row>
      <xdr:rowOff>523527</xdr:rowOff>
    </xdr:from>
    <xdr:to>
      <xdr:col>4</xdr:col>
      <xdr:colOff>970024</xdr:colOff>
      <xdr:row>18</xdr:row>
      <xdr:rowOff>114056</xdr:rowOff>
    </xdr:to>
    <xdr:pic>
      <xdr:nvPicPr>
        <xdr:cNvPr id="11" name="Graphic 10" descr="Badge 3 outline">
          <a:extLst>
            <a:ext uri="{FF2B5EF4-FFF2-40B4-BE49-F238E27FC236}">
              <a16:creationId xmlns:a16="http://schemas.microsoft.com/office/drawing/2014/main" id="{CEC9F03F-E508-FC3D-3AF1-0126247871A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918436" y="3616351"/>
          <a:ext cx="360000" cy="360000"/>
        </a:xfrm>
        <a:prstGeom prst="rect">
          <a:avLst/>
        </a:prstGeom>
      </xdr:spPr>
    </xdr:pic>
    <xdr:clientData/>
  </xdr:twoCellAnchor>
  <xdr:twoCellAnchor editAs="oneCell">
    <xdr:from>
      <xdr:col>4</xdr:col>
      <xdr:colOff>309926</xdr:colOff>
      <xdr:row>16</xdr:row>
      <xdr:rowOff>523527</xdr:rowOff>
    </xdr:from>
    <xdr:to>
      <xdr:col>4</xdr:col>
      <xdr:colOff>669926</xdr:colOff>
      <xdr:row>18</xdr:row>
      <xdr:rowOff>114056</xdr:rowOff>
    </xdr:to>
    <xdr:pic>
      <xdr:nvPicPr>
        <xdr:cNvPr id="13" name="Graphic 12" descr="Badge outline">
          <a:extLst>
            <a:ext uri="{FF2B5EF4-FFF2-40B4-BE49-F238E27FC236}">
              <a16:creationId xmlns:a16="http://schemas.microsoft.com/office/drawing/2014/main" id="{64B1DBE4-5EC3-E3F2-3F73-0CC5A22A567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2618338" y="3616351"/>
          <a:ext cx="360000" cy="360000"/>
        </a:xfrm>
        <a:prstGeom prst="rect">
          <a:avLst/>
        </a:prstGeom>
      </xdr:spPr>
    </xdr:pic>
    <xdr:clientData/>
  </xdr:twoCellAnchor>
  <xdr:twoCellAnchor editAs="oneCell">
    <xdr:from>
      <xdr:col>4</xdr:col>
      <xdr:colOff>9829</xdr:colOff>
      <xdr:row>16</xdr:row>
      <xdr:rowOff>523527</xdr:rowOff>
    </xdr:from>
    <xdr:to>
      <xdr:col>4</xdr:col>
      <xdr:colOff>369829</xdr:colOff>
      <xdr:row>18</xdr:row>
      <xdr:rowOff>114056</xdr:rowOff>
    </xdr:to>
    <xdr:pic>
      <xdr:nvPicPr>
        <xdr:cNvPr id="15" name="Graphic 14" descr="Badge 1 outline">
          <a:extLst>
            <a:ext uri="{FF2B5EF4-FFF2-40B4-BE49-F238E27FC236}">
              <a16:creationId xmlns:a16="http://schemas.microsoft.com/office/drawing/2014/main" id="{41FC16B4-D1E9-5333-6442-7859169986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2318241" y="3616351"/>
          <a:ext cx="360000" cy="360000"/>
        </a:xfrm>
        <a:prstGeom prst="rect">
          <a:avLst/>
        </a:prstGeom>
      </xdr:spPr>
    </xdr:pic>
    <xdr:clientData/>
  </xdr:twoCellAnchor>
  <xdr:twoCellAnchor editAs="oneCell">
    <xdr:from>
      <xdr:col>5</xdr:col>
      <xdr:colOff>1449278</xdr:colOff>
      <xdr:row>16</xdr:row>
      <xdr:rowOff>523527</xdr:rowOff>
    </xdr:from>
    <xdr:to>
      <xdr:col>5</xdr:col>
      <xdr:colOff>1809278</xdr:colOff>
      <xdr:row>18</xdr:row>
      <xdr:rowOff>114056</xdr:rowOff>
    </xdr:to>
    <xdr:pic>
      <xdr:nvPicPr>
        <xdr:cNvPr id="16" name="Graphic 15" descr="Badge 5 outline">
          <a:extLst>
            <a:ext uri="{FF2B5EF4-FFF2-40B4-BE49-F238E27FC236}">
              <a16:creationId xmlns:a16="http://schemas.microsoft.com/office/drawing/2014/main" id="{80B9A5F3-6C14-CE81-30C6-F1CFCF05A9A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5864396" y="3616351"/>
          <a:ext cx="360000" cy="360000"/>
        </a:xfrm>
        <a:prstGeom prst="rect">
          <a:avLst/>
        </a:prstGeom>
      </xdr:spPr>
    </xdr:pic>
    <xdr:clientData/>
  </xdr:twoCellAnchor>
  <xdr:twoCellAnchor editAs="oneCell">
    <xdr:from>
      <xdr:col>5</xdr:col>
      <xdr:colOff>1149181</xdr:colOff>
      <xdr:row>16</xdr:row>
      <xdr:rowOff>523527</xdr:rowOff>
    </xdr:from>
    <xdr:to>
      <xdr:col>5</xdr:col>
      <xdr:colOff>1509181</xdr:colOff>
      <xdr:row>18</xdr:row>
      <xdr:rowOff>114056</xdr:rowOff>
    </xdr:to>
    <xdr:pic>
      <xdr:nvPicPr>
        <xdr:cNvPr id="17" name="Graphic 16" descr="Badge 4 outline">
          <a:extLst>
            <a:ext uri="{FF2B5EF4-FFF2-40B4-BE49-F238E27FC236}">
              <a16:creationId xmlns:a16="http://schemas.microsoft.com/office/drawing/2014/main" id="{2AAF4A06-2CA4-C068-A9C4-B808FE3905D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5564299" y="3616351"/>
          <a:ext cx="360000" cy="360000"/>
        </a:xfrm>
        <a:prstGeom prst="rect">
          <a:avLst/>
        </a:prstGeom>
      </xdr:spPr>
    </xdr:pic>
    <xdr:clientData/>
  </xdr:twoCellAnchor>
  <xdr:twoCellAnchor editAs="oneCell">
    <xdr:from>
      <xdr:col>5</xdr:col>
      <xdr:colOff>849083</xdr:colOff>
      <xdr:row>16</xdr:row>
      <xdr:rowOff>523527</xdr:rowOff>
    </xdr:from>
    <xdr:to>
      <xdr:col>5</xdr:col>
      <xdr:colOff>1209083</xdr:colOff>
      <xdr:row>18</xdr:row>
      <xdr:rowOff>114056</xdr:rowOff>
    </xdr:to>
    <xdr:pic>
      <xdr:nvPicPr>
        <xdr:cNvPr id="18" name="Graphic 17" descr="Badge 3 outline">
          <a:extLst>
            <a:ext uri="{FF2B5EF4-FFF2-40B4-BE49-F238E27FC236}">
              <a16:creationId xmlns:a16="http://schemas.microsoft.com/office/drawing/2014/main" id="{70E4E98A-E965-6302-BF29-069652F8708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5264201" y="3616351"/>
          <a:ext cx="360000" cy="360000"/>
        </a:xfrm>
        <a:prstGeom prst="rect">
          <a:avLst/>
        </a:prstGeom>
      </xdr:spPr>
    </xdr:pic>
    <xdr:clientData/>
  </xdr:twoCellAnchor>
  <xdr:twoCellAnchor editAs="oneCell">
    <xdr:from>
      <xdr:col>5</xdr:col>
      <xdr:colOff>548985</xdr:colOff>
      <xdr:row>16</xdr:row>
      <xdr:rowOff>523527</xdr:rowOff>
    </xdr:from>
    <xdr:to>
      <xdr:col>5</xdr:col>
      <xdr:colOff>908985</xdr:colOff>
      <xdr:row>18</xdr:row>
      <xdr:rowOff>114056</xdr:rowOff>
    </xdr:to>
    <xdr:pic>
      <xdr:nvPicPr>
        <xdr:cNvPr id="19" name="Graphic 18" descr="Badge outline">
          <a:extLst>
            <a:ext uri="{FF2B5EF4-FFF2-40B4-BE49-F238E27FC236}">
              <a16:creationId xmlns:a16="http://schemas.microsoft.com/office/drawing/2014/main" id="{8AED8682-BEE5-2B52-BE42-E6597A95EE47}"/>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4964103" y="3616351"/>
          <a:ext cx="360000" cy="360000"/>
        </a:xfrm>
        <a:prstGeom prst="rect">
          <a:avLst/>
        </a:prstGeom>
      </xdr:spPr>
    </xdr:pic>
    <xdr:clientData/>
  </xdr:twoCellAnchor>
  <xdr:twoCellAnchor editAs="oneCell">
    <xdr:from>
      <xdr:col>5</xdr:col>
      <xdr:colOff>248888</xdr:colOff>
      <xdr:row>16</xdr:row>
      <xdr:rowOff>523527</xdr:rowOff>
    </xdr:from>
    <xdr:to>
      <xdr:col>5</xdr:col>
      <xdr:colOff>608888</xdr:colOff>
      <xdr:row>18</xdr:row>
      <xdr:rowOff>114056</xdr:rowOff>
    </xdr:to>
    <xdr:pic>
      <xdr:nvPicPr>
        <xdr:cNvPr id="20" name="Graphic 19" descr="Badge 1 outline">
          <a:extLst>
            <a:ext uri="{FF2B5EF4-FFF2-40B4-BE49-F238E27FC236}">
              <a16:creationId xmlns:a16="http://schemas.microsoft.com/office/drawing/2014/main" id="{00F4C8D3-319E-A1DD-1277-17A9D378B86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4664006" y="3616351"/>
          <a:ext cx="360000" cy="360000"/>
        </a:xfrm>
        <a:prstGeom prst="rect">
          <a:avLst/>
        </a:prstGeom>
      </xdr:spPr>
    </xdr:pic>
    <xdr:clientData/>
  </xdr:twoCellAnchor>
  <xdr:twoCellAnchor>
    <xdr:from>
      <xdr:col>0</xdr:col>
      <xdr:colOff>67235</xdr:colOff>
      <xdr:row>0</xdr:row>
      <xdr:rowOff>82176</xdr:rowOff>
    </xdr:from>
    <xdr:to>
      <xdr:col>1</xdr:col>
      <xdr:colOff>310486</xdr:colOff>
      <xdr:row>3</xdr:row>
      <xdr:rowOff>88708</xdr:rowOff>
    </xdr:to>
    <xdr:grpSp>
      <xdr:nvGrpSpPr>
        <xdr:cNvPr id="22" name="Group 2">
          <a:extLst>
            <a:ext uri="{FF2B5EF4-FFF2-40B4-BE49-F238E27FC236}">
              <a16:creationId xmlns:a16="http://schemas.microsoft.com/office/drawing/2014/main" id="{A63C2D78-338A-4BC2-A248-F14A71D2FAFB}"/>
            </a:ext>
          </a:extLst>
        </xdr:cNvPr>
        <xdr:cNvGrpSpPr/>
      </xdr:nvGrpSpPr>
      <xdr:grpSpPr>
        <a:xfrm>
          <a:off x="67235" y="82176"/>
          <a:ext cx="633776" cy="635182"/>
          <a:chOff x="8756769" y="4362234"/>
          <a:chExt cx="648000" cy="651646"/>
        </a:xfrm>
      </xdr:grpSpPr>
      <xdr:sp macro="" textlink="">
        <xdr:nvSpPr>
          <xdr:cNvPr id="23" name="Rectangle 7">
            <a:extLst>
              <a:ext uri="{FF2B5EF4-FFF2-40B4-BE49-F238E27FC236}">
                <a16:creationId xmlns:a16="http://schemas.microsoft.com/office/drawing/2014/main" id="{899D0EBE-2874-3594-8B50-ABBC168BC854}"/>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24" name="Oval 9">
            <a:hlinkClick xmlns:r="http://schemas.openxmlformats.org/officeDocument/2006/relationships" r:id="rId21"/>
            <a:extLst>
              <a:ext uri="{FF2B5EF4-FFF2-40B4-BE49-F238E27FC236}">
                <a16:creationId xmlns:a16="http://schemas.microsoft.com/office/drawing/2014/main" id="{4C1F9A21-4D42-018D-2368-53BCDFF42F52}"/>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25" name="Oval 11">
            <a:hlinkClick xmlns:r="http://schemas.openxmlformats.org/officeDocument/2006/relationships" r:id="rId22"/>
            <a:extLst>
              <a:ext uri="{FF2B5EF4-FFF2-40B4-BE49-F238E27FC236}">
                <a16:creationId xmlns:a16="http://schemas.microsoft.com/office/drawing/2014/main" id="{4B609932-1C95-21BA-76D1-FA6D06069A90}"/>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26" name="Graphic 13" descr="Home with solid fill">
            <a:hlinkClick xmlns:r="http://schemas.openxmlformats.org/officeDocument/2006/relationships" r:id="rId23"/>
            <a:extLst>
              <a:ext uri="{FF2B5EF4-FFF2-40B4-BE49-F238E27FC236}">
                <a16:creationId xmlns:a16="http://schemas.microsoft.com/office/drawing/2014/main" id="{85F2BCED-D5EF-1D6E-D8AA-78A451B9031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27" name="Graphic 20" descr="User outline">
            <a:hlinkClick xmlns:r="http://schemas.openxmlformats.org/officeDocument/2006/relationships" r:id="rId26"/>
            <a:extLst>
              <a:ext uri="{FF2B5EF4-FFF2-40B4-BE49-F238E27FC236}">
                <a16:creationId xmlns:a16="http://schemas.microsoft.com/office/drawing/2014/main" id="{176306B4-94DE-E4A1-2B3F-AAD645361015}"/>
              </a:ext>
            </a:extLst>
          </xdr:cNvPr>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3.xml><?xml version="1.0" encoding="utf-8"?>
<xdr:wsDr xmlns:xdr="http://schemas.openxmlformats.org/drawingml/2006/spreadsheetDrawing" xmlns:a="http://schemas.openxmlformats.org/drawingml/2006/main">
  <xdr:twoCellAnchor>
    <xdr:from>
      <xdr:col>0</xdr:col>
      <xdr:colOff>72571</xdr:colOff>
      <xdr:row>0</xdr:row>
      <xdr:rowOff>72572</xdr:rowOff>
    </xdr:from>
    <xdr:to>
      <xdr:col>1</xdr:col>
      <xdr:colOff>311020</xdr:colOff>
      <xdr:row>3</xdr:row>
      <xdr:rowOff>95646</xdr:rowOff>
    </xdr:to>
    <xdr:grpSp>
      <xdr:nvGrpSpPr>
        <xdr:cNvPr id="12" name="Group 5">
          <a:extLst>
            <a:ext uri="{FF2B5EF4-FFF2-40B4-BE49-F238E27FC236}">
              <a16:creationId xmlns:a16="http://schemas.microsoft.com/office/drawing/2014/main" id="{C4C4B5DF-B796-4934-8DEE-06DC8A54C611}"/>
            </a:ext>
          </a:extLst>
        </xdr:cNvPr>
        <xdr:cNvGrpSpPr/>
      </xdr:nvGrpSpPr>
      <xdr:grpSpPr>
        <a:xfrm>
          <a:off x="72571" y="72572"/>
          <a:ext cx="628974" cy="651724"/>
          <a:chOff x="8756769" y="4362234"/>
          <a:chExt cx="648000" cy="651646"/>
        </a:xfrm>
      </xdr:grpSpPr>
      <xdr:sp macro="" textlink="">
        <xdr:nvSpPr>
          <xdr:cNvPr id="13" name="Rectangle 6">
            <a:extLst>
              <a:ext uri="{FF2B5EF4-FFF2-40B4-BE49-F238E27FC236}">
                <a16:creationId xmlns:a16="http://schemas.microsoft.com/office/drawing/2014/main" id="{35BE5782-E6CE-C5D9-3EAA-DA28B8F30CD3}"/>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4" name="Oval 7">
            <a:hlinkClick xmlns:r="http://schemas.openxmlformats.org/officeDocument/2006/relationships" r:id="rId1"/>
            <a:extLst>
              <a:ext uri="{FF2B5EF4-FFF2-40B4-BE49-F238E27FC236}">
                <a16:creationId xmlns:a16="http://schemas.microsoft.com/office/drawing/2014/main" id="{EB73FBDF-B59F-4081-0930-6C454D981C9E}"/>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A3683F4E-8E0C-4E6B-B15B-8DC748DED86A}"/>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6" name="Graphic 9" descr="Home with solid fill">
            <a:hlinkClick xmlns:r="http://schemas.openxmlformats.org/officeDocument/2006/relationships" r:id="rId3"/>
            <a:extLst>
              <a:ext uri="{FF2B5EF4-FFF2-40B4-BE49-F238E27FC236}">
                <a16:creationId xmlns:a16="http://schemas.microsoft.com/office/drawing/2014/main" id="{22FB64B3-67EB-582D-9B42-773AB30AF0A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7" name="Graphic 10" descr="User outline">
            <a:hlinkClick xmlns:r="http://schemas.openxmlformats.org/officeDocument/2006/relationships" r:id="rId6"/>
            <a:extLst>
              <a:ext uri="{FF2B5EF4-FFF2-40B4-BE49-F238E27FC236}">
                <a16:creationId xmlns:a16="http://schemas.microsoft.com/office/drawing/2014/main" id="{1FE2BBEC-C525-836B-A8B3-84CDBB3AFAD7}"/>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4.xml><?xml version="1.0" encoding="utf-8"?>
<xdr:wsDr xmlns:xdr="http://schemas.openxmlformats.org/drawingml/2006/spreadsheetDrawing" xmlns:a="http://schemas.openxmlformats.org/drawingml/2006/main">
  <xdr:twoCellAnchor>
    <xdr:from>
      <xdr:col>0</xdr:col>
      <xdr:colOff>101600</xdr:colOff>
      <xdr:row>0</xdr:row>
      <xdr:rowOff>57150</xdr:rowOff>
    </xdr:from>
    <xdr:to>
      <xdr:col>1</xdr:col>
      <xdr:colOff>341863</xdr:colOff>
      <xdr:row>3</xdr:row>
      <xdr:rowOff>71153</xdr:rowOff>
    </xdr:to>
    <xdr:grpSp>
      <xdr:nvGrpSpPr>
        <xdr:cNvPr id="12" name="Group 1">
          <a:extLst>
            <a:ext uri="{FF2B5EF4-FFF2-40B4-BE49-F238E27FC236}">
              <a16:creationId xmlns:a16="http://schemas.microsoft.com/office/drawing/2014/main" id="{BB63D322-22EB-47D2-B6DC-1281EE4E0702}"/>
            </a:ext>
          </a:extLst>
        </xdr:cNvPr>
        <xdr:cNvGrpSpPr/>
      </xdr:nvGrpSpPr>
      <xdr:grpSpPr>
        <a:xfrm>
          <a:off x="101600" y="57150"/>
          <a:ext cx="630788" cy="642653"/>
          <a:chOff x="8756769" y="4362234"/>
          <a:chExt cx="648000" cy="651646"/>
        </a:xfrm>
      </xdr:grpSpPr>
      <xdr:sp macro="" textlink="">
        <xdr:nvSpPr>
          <xdr:cNvPr id="13" name="Rectangle 6">
            <a:extLst>
              <a:ext uri="{FF2B5EF4-FFF2-40B4-BE49-F238E27FC236}">
                <a16:creationId xmlns:a16="http://schemas.microsoft.com/office/drawing/2014/main" id="{44DEED1D-1979-8DB8-C9AD-4998BC214B8E}"/>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4" name="Oval 7">
            <a:hlinkClick xmlns:r="http://schemas.openxmlformats.org/officeDocument/2006/relationships" r:id="rId1"/>
            <a:extLst>
              <a:ext uri="{FF2B5EF4-FFF2-40B4-BE49-F238E27FC236}">
                <a16:creationId xmlns:a16="http://schemas.microsoft.com/office/drawing/2014/main" id="{7D5C771E-6A82-8B20-F376-36615FAA5BEF}"/>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632F30A2-C2C5-E2CD-EB50-FFD82EB6C52A}"/>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6" name="Graphic 9" descr="Home with solid fill">
            <a:hlinkClick xmlns:r="http://schemas.openxmlformats.org/officeDocument/2006/relationships" r:id="rId3"/>
            <a:extLst>
              <a:ext uri="{FF2B5EF4-FFF2-40B4-BE49-F238E27FC236}">
                <a16:creationId xmlns:a16="http://schemas.microsoft.com/office/drawing/2014/main" id="{F2BD2848-8C87-9B4C-E6ED-E00B559A84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7" name="Graphic 10" descr="User outline">
            <a:hlinkClick xmlns:r="http://schemas.openxmlformats.org/officeDocument/2006/relationships" r:id="rId6"/>
            <a:extLst>
              <a:ext uri="{FF2B5EF4-FFF2-40B4-BE49-F238E27FC236}">
                <a16:creationId xmlns:a16="http://schemas.microsoft.com/office/drawing/2014/main" id="{7E6B2B26-B4D1-5E3D-EF0A-41611C3CB985}"/>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5.xml><?xml version="1.0" encoding="utf-8"?>
<xdr:wsDr xmlns:xdr="http://schemas.openxmlformats.org/drawingml/2006/spreadsheetDrawing" xmlns:a="http://schemas.openxmlformats.org/drawingml/2006/main">
  <xdr:twoCellAnchor>
    <xdr:from>
      <xdr:col>0</xdr:col>
      <xdr:colOff>72571</xdr:colOff>
      <xdr:row>0</xdr:row>
      <xdr:rowOff>54428</xdr:rowOff>
    </xdr:from>
    <xdr:to>
      <xdr:col>1</xdr:col>
      <xdr:colOff>311020</xdr:colOff>
      <xdr:row>3</xdr:row>
      <xdr:rowOff>77502</xdr:rowOff>
    </xdr:to>
    <xdr:grpSp>
      <xdr:nvGrpSpPr>
        <xdr:cNvPr id="12" name="Group 1">
          <a:extLst>
            <a:ext uri="{FF2B5EF4-FFF2-40B4-BE49-F238E27FC236}">
              <a16:creationId xmlns:a16="http://schemas.microsoft.com/office/drawing/2014/main" id="{56AF8E4F-D0B1-440F-9173-931FF845A925}"/>
            </a:ext>
          </a:extLst>
        </xdr:cNvPr>
        <xdr:cNvGrpSpPr/>
      </xdr:nvGrpSpPr>
      <xdr:grpSpPr>
        <a:xfrm>
          <a:off x="72571" y="54428"/>
          <a:ext cx="628974" cy="651724"/>
          <a:chOff x="8756769" y="4362234"/>
          <a:chExt cx="648000" cy="651646"/>
        </a:xfrm>
      </xdr:grpSpPr>
      <xdr:sp macro="" textlink="">
        <xdr:nvSpPr>
          <xdr:cNvPr id="13" name="Rectangle 6">
            <a:extLst>
              <a:ext uri="{FF2B5EF4-FFF2-40B4-BE49-F238E27FC236}">
                <a16:creationId xmlns:a16="http://schemas.microsoft.com/office/drawing/2014/main" id="{7A0220B2-3657-44E8-6FD8-5F52839703D6}"/>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4" name="Oval 7">
            <a:hlinkClick xmlns:r="http://schemas.openxmlformats.org/officeDocument/2006/relationships" r:id="rId1"/>
            <a:extLst>
              <a:ext uri="{FF2B5EF4-FFF2-40B4-BE49-F238E27FC236}">
                <a16:creationId xmlns:a16="http://schemas.microsoft.com/office/drawing/2014/main" id="{E031F642-1DA6-9E15-3696-319990B6C968}"/>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353D11F5-55C2-8D75-2EF9-2EA0B8E95883}"/>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6" name="Graphic 9" descr="Home with solid fill">
            <a:hlinkClick xmlns:r="http://schemas.openxmlformats.org/officeDocument/2006/relationships" r:id="rId3"/>
            <a:extLst>
              <a:ext uri="{FF2B5EF4-FFF2-40B4-BE49-F238E27FC236}">
                <a16:creationId xmlns:a16="http://schemas.microsoft.com/office/drawing/2014/main" id="{03873693-FD45-99FF-E79F-3DD88EA7161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7" name="Graphic 10" descr="User outline">
            <a:hlinkClick xmlns:r="http://schemas.openxmlformats.org/officeDocument/2006/relationships" r:id="rId6"/>
            <a:extLst>
              <a:ext uri="{FF2B5EF4-FFF2-40B4-BE49-F238E27FC236}">
                <a16:creationId xmlns:a16="http://schemas.microsoft.com/office/drawing/2014/main" id="{08354CB7-9526-9D8F-7492-A71DC740069A}"/>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6.xml><?xml version="1.0" encoding="utf-8"?>
<xdr:wsDr xmlns:xdr="http://schemas.openxmlformats.org/drawingml/2006/spreadsheetDrawing" xmlns:a="http://schemas.openxmlformats.org/drawingml/2006/main">
  <xdr:twoCellAnchor>
    <xdr:from>
      <xdr:col>0</xdr:col>
      <xdr:colOff>80818</xdr:colOff>
      <xdr:row>0</xdr:row>
      <xdr:rowOff>103909</xdr:rowOff>
    </xdr:from>
    <xdr:to>
      <xdr:col>1</xdr:col>
      <xdr:colOff>323390</xdr:colOff>
      <xdr:row>3</xdr:row>
      <xdr:rowOff>129457</xdr:rowOff>
    </xdr:to>
    <xdr:grpSp>
      <xdr:nvGrpSpPr>
        <xdr:cNvPr id="12" name="Group 1">
          <a:extLst>
            <a:ext uri="{FF2B5EF4-FFF2-40B4-BE49-F238E27FC236}">
              <a16:creationId xmlns:a16="http://schemas.microsoft.com/office/drawing/2014/main" id="{819B0A95-EEBA-402F-99E0-3A3F83BCD910}"/>
            </a:ext>
          </a:extLst>
        </xdr:cNvPr>
        <xdr:cNvGrpSpPr/>
      </xdr:nvGrpSpPr>
      <xdr:grpSpPr>
        <a:xfrm>
          <a:off x="80818" y="103909"/>
          <a:ext cx="633097" cy="654198"/>
          <a:chOff x="8756769" y="4362234"/>
          <a:chExt cx="648000" cy="651646"/>
        </a:xfrm>
      </xdr:grpSpPr>
      <xdr:sp macro="" textlink="">
        <xdr:nvSpPr>
          <xdr:cNvPr id="13" name="Rectangle 6">
            <a:extLst>
              <a:ext uri="{FF2B5EF4-FFF2-40B4-BE49-F238E27FC236}">
                <a16:creationId xmlns:a16="http://schemas.microsoft.com/office/drawing/2014/main" id="{1EAEC692-6FF1-C2D5-136F-9A046F5A7FE9}"/>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4" name="Oval 7">
            <a:hlinkClick xmlns:r="http://schemas.openxmlformats.org/officeDocument/2006/relationships" r:id="rId1"/>
            <a:extLst>
              <a:ext uri="{FF2B5EF4-FFF2-40B4-BE49-F238E27FC236}">
                <a16:creationId xmlns:a16="http://schemas.microsoft.com/office/drawing/2014/main" id="{1C3462C7-932E-33B5-328B-642490E64A57}"/>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B5CE67D0-9932-1F9B-2CA2-C0D3C95F04FF}"/>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6" name="Graphic 9" descr="Home with solid fill">
            <a:hlinkClick xmlns:r="http://schemas.openxmlformats.org/officeDocument/2006/relationships" r:id="rId3"/>
            <a:extLst>
              <a:ext uri="{FF2B5EF4-FFF2-40B4-BE49-F238E27FC236}">
                <a16:creationId xmlns:a16="http://schemas.microsoft.com/office/drawing/2014/main" id="{C091A8AB-D863-A4D5-0385-9323550CB33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7" name="Graphic 10" descr="User outline">
            <a:hlinkClick xmlns:r="http://schemas.openxmlformats.org/officeDocument/2006/relationships" r:id="rId6"/>
            <a:extLst>
              <a:ext uri="{FF2B5EF4-FFF2-40B4-BE49-F238E27FC236}">
                <a16:creationId xmlns:a16="http://schemas.microsoft.com/office/drawing/2014/main" id="{1B9E453A-9A46-80C5-4970-C5400E554FAE}"/>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7.xml><?xml version="1.0" encoding="utf-8"?>
<xdr:wsDr xmlns:xdr="http://schemas.openxmlformats.org/drawingml/2006/spreadsheetDrawing" xmlns:a="http://schemas.openxmlformats.org/drawingml/2006/main">
  <xdr:twoCellAnchor>
    <xdr:from>
      <xdr:col>0</xdr:col>
      <xdr:colOff>57150</xdr:colOff>
      <xdr:row>0</xdr:row>
      <xdr:rowOff>63500</xdr:rowOff>
    </xdr:from>
    <xdr:to>
      <xdr:col>1</xdr:col>
      <xdr:colOff>297413</xdr:colOff>
      <xdr:row>3</xdr:row>
      <xdr:rowOff>83853</xdr:rowOff>
    </xdr:to>
    <xdr:grpSp>
      <xdr:nvGrpSpPr>
        <xdr:cNvPr id="12" name="Group 2">
          <a:extLst>
            <a:ext uri="{FF2B5EF4-FFF2-40B4-BE49-F238E27FC236}">
              <a16:creationId xmlns:a16="http://schemas.microsoft.com/office/drawing/2014/main" id="{1F12C090-FDEB-4A88-9216-55E2A286B3D7}"/>
            </a:ext>
          </a:extLst>
        </xdr:cNvPr>
        <xdr:cNvGrpSpPr/>
      </xdr:nvGrpSpPr>
      <xdr:grpSpPr>
        <a:xfrm>
          <a:off x="57150" y="63500"/>
          <a:ext cx="630788" cy="649003"/>
          <a:chOff x="8756769" y="4362234"/>
          <a:chExt cx="648000" cy="651646"/>
        </a:xfrm>
      </xdr:grpSpPr>
      <xdr:sp macro="" textlink="">
        <xdr:nvSpPr>
          <xdr:cNvPr id="13" name="Rectangle 6">
            <a:extLst>
              <a:ext uri="{FF2B5EF4-FFF2-40B4-BE49-F238E27FC236}">
                <a16:creationId xmlns:a16="http://schemas.microsoft.com/office/drawing/2014/main" id="{7F771139-D7EB-6169-543F-20182020CC38}"/>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4" name="Oval 7">
            <a:hlinkClick xmlns:r="http://schemas.openxmlformats.org/officeDocument/2006/relationships" r:id="rId1"/>
            <a:extLst>
              <a:ext uri="{FF2B5EF4-FFF2-40B4-BE49-F238E27FC236}">
                <a16:creationId xmlns:a16="http://schemas.microsoft.com/office/drawing/2014/main" id="{69ECACF6-1DBA-7F27-5D34-BB90AC67DD88}"/>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1CC8CDD9-03F1-BD6C-9625-C2395C03CAAC}"/>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6" name="Graphic 9" descr="Home with solid fill">
            <a:hlinkClick xmlns:r="http://schemas.openxmlformats.org/officeDocument/2006/relationships" r:id="rId3"/>
            <a:extLst>
              <a:ext uri="{FF2B5EF4-FFF2-40B4-BE49-F238E27FC236}">
                <a16:creationId xmlns:a16="http://schemas.microsoft.com/office/drawing/2014/main" id="{D9819FBD-F0AE-6624-7F59-9C27DD29743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7" name="Graphic 10" descr="User outline">
            <a:hlinkClick xmlns:r="http://schemas.openxmlformats.org/officeDocument/2006/relationships" r:id="rId6"/>
            <a:extLst>
              <a:ext uri="{FF2B5EF4-FFF2-40B4-BE49-F238E27FC236}">
                <a16:creationId xmlns:a16="http://schemas.microsoft.com/office/drawing/2014/main" id="{864DB5DA-B9A9-0D91-31E9-F8CC429D3097}"/>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8.xml><?xml version="1.0" encoding="utf-8"?>
<xdr:wsDr xmlns:xdr="http://schemas.openxmlformats.org/drawingml/2006/spreadsheetDrawing" xmlns:a="http://schemas.openxmlformats.org/drawingml/2006/main">
  <xdr:twoCellAnchor>
    <xdr:from>
      <xdr:col>0</xdr:col>
      <xdr:colOff>76200</xdr:colOff>
      <xdr:row>0</xdr:row>
      <xdr:rowOff>82550</xdr:rowOff>
    </xdr:from>
    <xdr:to>
      <xdr:col>1</xdr:col>
      <xdr:colOff>316463</xdr:colOff>
      <xdr:row>3</xdr:row>
      <xdr:rowOff>14003</xdr:rowOff>
    </xdr:to>
    <xdr:grpSp>
      <xdr:nvGrpSpPr>
        <xdr:cNvPr id="19" name="Group 2">
          <a:extLst>
            <a:ext uri="{FF2B5EF4-FFF2-40B4-BE49-F238E27FC236}">
              <a16:creationId xmlns:a16="http://schemas.microsoft.com/office/drawing/2014/main" id="{9D8DC51A-03BB-4C16-902F-7A6814E56A67}"/>
            </a:ext>
          </a:extLst>
        </xdr:cNvPr>
        <xdr:cNvGrpSpPr/>
      </xdr:nvGrpSpPr>
      <xdr:grpSpPr>
        <a:xfrm>
          <a:off x="76200" y="82550"/>
          <a:ext cx="630788" cy="645828"/>
          <a:chOff x="8756769" y="4362234"/>
          <a:chExt cx="648000" cy="651646"/>
        </a:xfrm>
      </xdr:grpSpPr>
      <xdr:sp macro="" textlink="">
        <xdr:nvSpPr>
          <xdr:cNvPr id="20" name="Rectangle 7">
            <a:extLst>
              <a:ext uri="{FF2B5EF4-FFF2-40B4-BE49-F238E27FC236}">
                <a16:creationId xmlns:a16="http://schemas.microsoft.com/office/drawing/2014/main" id="{C90DDDF7-F812-C026-B2D3-1992A6D80065}"/>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21" name="Oval 8">
            <a:hlinkClick xmlns:r="http://schemas.openxmlformats.org/officeDocument/2006/relationships" r:id="rId1"/>
            <a:extLst>
              <a:ext uri="{FF2B5EF4-FFF2-40B4-BE49-F238E27FC236}">
                <a16:creationId xmlns:a16="http://schemas.microsoft.com/office/drawing/2014/main" id="{81E2DCAB-37EE-1F3C-DC8C-26879ADFBFC3}"/>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22" name="Oval 9">
            <a:hlinkClick xmlns:r="http://schemas.openxmlformats.org/officeDocument/2006/relationships" r:id="rId2"/>
            <a:extLst>
              <a:ext uri="{FF2B5EF4-FFF2-40B4-BE49-F238E27FC236}">
                <a16:creationId xmlns:a16="http://schemas.microsoft.com/office/drawing/2014/main" id="{9898C4C0-92A1-EB59-B5B7-78D35B12E53A}"/>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23" name="Graphic 10" descr="Home with solid fill">
            <a:hlinkClick xmlns:r="http://schemas.openxmlformats.org/officeDocument/2006/relationships" r:id="rId3"/>
            <a:extLst>
              <a:ext uri="{FF2B5EF4-FFF2-40B4-BE49-F238E27FC236}">
                <a16:creationId xmlns:a16="http://schemas.microsoft.com/office/drawing/2014/main" id="{B6F152F6-BA8C-CBEB-FF6A-21C76F1034F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24" name="Graphic 11" descr="User outline">
            <a:hlinkClick xmlns:r="http://schemas.openxmlformats.org/officeDocument/2006/relationships" r:id="rId6"/>
            <a:extLst>
              <a:ext uri="{FF2B5EF4-FFF2-40B4-BE49-F238E27FC236}">
                <a16:creationId xmlns:a16="http://schemas.microsoft.com/office/drawing/2014/main" id="{2D235DF9-A628-3560-FBA9-979FAA292BCE}"/>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39.xml><?xml version="1.0" encoding="utf-8"?>
<xdr:wsDr xmlns:xdr="http://schemas.openxmlformats.org/drawingml/2006/spreadsheetDrawing" xmlns:a="http://schemas.openxmlformats.org/drawingml/2006/main">
  <xdr:twoCellAnchor>
    <xdr:from>
      <xdr:col>0</xdr:col>
      <xdr:colOff>89647</xdr:colOff>
      <xdr:row>0</xdr:row>
      <xdr:rowOff>67236</xdr:rowOff>
    </xdr:from>
    <xdr:to>
      <xdr:col>1</xdr:col>
      <xdr:colOff>341601</xdr:colOff>
      <xdr:row>3</xdr:row>
      <xdr:rowOff>57760</xdr:rowOff>
    </xdr:to>
    <xdr:grpSp>
      <xdr:nvGrpSpPr>
        <xdr:cNvPr id="2" name="Group 1">
          <a:extLst>
            <a:ext uri="{FF2B5EF4-FFF2-40B4-BE49-F238E27FC236}">
              <a16:creationId xmlns:a16="http://schemas.microsoft.com/office/drawing/2014/main" id="{B321BF5E-5135-4CCB-BB5A-7B66A5837299}"/>
            </a:ext>
          </a:extLst>
        </xdr:cNvPr>
        <xdr:cNvGrpSpPr/>
      </xdr:nvGrpSpPr>
      <xdr:grpSpPr>
        <a:xfrm>
          <a:off x="89647" y="67236"/>
          <a:ext cx="642479" cy="619174"/>
          <a:chOff x="8756769" y="4362234"/>
          <a:chExt cx="648000" cy="651646"/>
        </a:xfrm>
      </xdr:grpSpPr>
      <xdr:sp macro="" textlink="">
        <xdr:nvSpPr>
          <xdr:cNvPr id="7" name="Rectangle 3">
            <a:extLst>
              <a:ext uri="{FF2B5EF4-FFF2-40B4-BE49-F238E27FC236}">
                <a16:creationId xmlns:a16="http://schemas.microsoft.com/office/drawing/2014/main" id="{E90BB3A2-3A26-FAF9-60D2-EC2A5C81B825}"/>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8" name="Oval 7">
            <a:hlinkClick xmlns:r="http://schemas.openxmlformats.org/officeDocument/2006/relationships" r:id="rId1"/>
            <a:extLst>
              <a:ext uri="{FF2B5EF4-FFF2-40B4-BE49-F238E27FC236}">
                <a16:creationId xmlns:a16="http://schemas.microsoft.com/office/drawing/2014/main" id="{9F9876F8-2FD1-1810-5F02-9467AB0603B3}"/>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9" name="Oval 8">
            <a:hlinkClick xmlns:r="http://schemas.openxmlformats.org/officeDocument/2006/relationships" r:id="rId2"/>
            <a:extLst>
              <a:ext uri="{FF2B5EF4-FFF2-40B4-BE49-F238E27FC236}">
                <a16:creationId xmlns:a16="http://schemas.microsoft.com/office/drawing/2014/main" id="{3FFE1D11-3BA4-D72A-367A-9A5FC74505EC}"/>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0" name="Graphic 9" descr="Home with solid fill">
            <a:hlinkClick xmlns:r="http://schemas.openxmlformats.org/officeDocument/2006/relationships" r:id="rId3"/>
            <a:extLst>
              <a:ext uri="{FF2B5EF4-FFF2-40B4-BE49-F238E27FC236}">
                <a16:creationId xmlns:a16="http://schemas.microsoft.com/office/drawing/2014/main" id="{F33864F3-09CE-5BF1-9B32-E32A978C8BC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1" name="Graphic 10" descr="User outline">
            <a:hlinkClick xmlns:r="http://schemas.openxmlformats.org/officeDocument/2006/relationships" r:id="rId6"/>
            <a:extLst>
              <a:ext uri="{FF2B5EF4-FFF2-40B4-BE49-F238E27FC236}">
                <a16:creationId xmlns:a16="http://schemas.microsoft.com/office/drawing/2014/main" id="{B15DA90B-49DB-D0D9-DBA4-185357C51CEA}"/>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101600</xdr:colOff>
      <xdr:row>0</xdr:row>
      <xdr:rowOff>69850</xdr:rowOff>
    </xdr:from>
    <xdr:to>
      <xdr:col>1</xdr:col>
      <xdr:colOff>341863</xdr:colOff>
      <xdr:row>3</xdr:row>
      <xdr:rowOff>83853</xdr:rowOff>
    </xdr:to>
    <xdr:grpSp>
      <xdr:nvGrpSpPr>
        <xdr:cNvPr id="6" name="Group 1">
          <a:extLst>
            <a:ext uri="{FF2B5EF4-FFF2-40B4-BE49-F238E27FC236}">
              <a16:creationId xmlns:a16="http://schemas.microsoft.com/office/drawing/2014/main" id="{1DFB4201-956F-4F5A-8562-BCD0EE304A90}"/>
            </a:ext>
          </a:extLst>
        </xdr:cNvPr>
        <xdr:cNvGrpSpPr/>
      </xdr:nvGrpSpPr>
      <xdr:grpSpPr>
        <a:xfrm>
          <a:off x="101600" y="69850"/>
          <a:ext cx="630788" cy="642653"/>
          <a:chOff x="8756769" y="4362234"/>
          <a:chExt cx="648000" cy="651646"/>
        </a:xfrm>
      </xdr:grpSpPr>
      <xdr:sp macro="" textlink="">
        <xdr:nvSpPr>
          <xdr:cNvPr id="7" name="Rectangle 6">
            <a:extLst>
              <a:ext uri="{FF2B5EF4-FFF2-40B4-BE49-F238E27FC236}">
                <a16:creationId xmlns:a16="http://schemas.microsoft.com/office/drawing/2014/main" id="{CF615E96-9327-5A2B-18CB-7CB64AC76BBF}"/>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8" name="Oval 7">
            <a:hlinkClick xmlns:r="http://schemas.openxmlformats.org/officeDocument/2006/relationships" r:id="rId1"/>
            <a:extLst>
              <a:ext uri="{FF2B5EF4-FFF2-40B4-BE49-F238E27FC236}">
                <a16:creationId xmlns:a16="http://schemas.microsoft.com/office/drawing/2014/main" id="{E011F279-5B88-A7AF-8D93-954A50523018}"/>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9" name="Oval 8">
            <a:hlinkClick xmlns:r="http://schemas.openxmlformats.org/officeDocument/2006/relationships" r:id="rId2"/>
            <a:extLst>
              <a:ext uri="{FF2B5EF4-FFF2-40B4-BE49-F238E27FC236}">
                <a16:creationId xmlns:a16="http://schemas.microsoft.com/office/drawing/2014/main" id="{A39A9C5B-20C5-118B-1AB4-A151B3554829}"/>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0" name="Graphic 9" descr="Home with solid fill">
            <a:hlinkClick xmlns:r="http://schemas.openxmlformats.org/officeDocument/2006/relationships" r:id="rId3"/>
            <a:extLst>
              <a:ext uri="{FF2B5EF4-FFF2-40B4-BE49-F238E27FC236}">
                <a16:creationId xmlns:a16="http://schemas.microsoft.com/office/drawing/2014/main" id="{CD6530AE-1242-4CC0-F020-EC6CEAB9C12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1" name="Graphic 10" descr="User outline">
            <a:hlinkClick xmlns:r="http://schemas.openxmlformats.org/officeDocument/2006/relationships" r:id="rId6"/>
            <a:extLst>
              <a:ext uri="{FF2B5EF4-FFF2-40B4-BE49-F238E27FC236}">
                <a16:creationId xmlns:a16="http://schemas.microsoft.com/office/drawing/2014/main" id="{51F63D96-F87C-54B6-DD32-BA5F295B56F6}"/>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69850</xdr:colOff>
      <xdr:row>0</xdr:row>
      <xdr:rowOff>76200</xdr:rowOff>
    </xdr:from>
    <xdr:to>
      <xdr:col>1</xdr:col>
      <xdr:colOff>310113</xdr:colOff>
      <xdr:row>3</xdr:row>
      <xdr:rowOff>90203</xdr:rowOff>
    </xdr:to>
    <xdr:grpSp>
      <xdr:nvGrpSpPr>
        <xdr:cNvPr id="6" name="Group 1">
          <a:extLst>
            <a:ext uri="{FF2B5EF4-FFF2-40B4-BE49-F238E27FC236}">
              <a16:creationId xmlns:a16="http://schemas.microsoft.com/office/drawing/2014/main" id="{99D74B68-3118-4D08-A3EC-835152C8A428}"/>
            </a:ext>
          </a:extLst>
        </xdr:cNvPr>
        <xdr:cNvGrpSpPr/>
      </xdr:nvGrpSpPr>
      <xdr:grpSpPr>
        <a:xfrm>
          <a:off x="69850" y="76200"/>
          <a:ext cx="630788" cy="642653"/>
          <a:chOff x="8756769" y="4362234"/>
          <a:chExt cx="648000" cy="651646"/>
        </a:xfrm>
      </xdr:grpSpPr>
      <xdr:sp macro="" textlink="">
        <xdr:nvSpPr>
          <xdr:cNvPr id="7" name="Rectangle 6">
            <a:extLst>
              <a:ext uri="{FF2B5EF4-FFF2-40B4-BE49-F238E27FC236}">
                <a16:creationId xmlns:a16="http://schemas.microsoft.com/office/drawing/2014/main" id="{9E28A8F0-4540-F20F-DBD5-CEACE8D7AE57}"/>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8" name="Oval 7">
            <a:hlinkClick xmlns:r="http://schemas.openxmlformats.org/officeDocument/2006/relationships" r:id="rId1"/>
            <a:extLst>
              <a:ext uri="{FF2B5EF4-FFF2-40B4-BE49-F238E27FC236}">
                <a16:creationId xmlns:a16="http://schemas.microsoft.com/office/drawing/2014/main" id="{43520972-73BE-7955-38B6-671D09744FF0}"/>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9" name="Oval 8">
            <a:hlinkClick xmlns:r="http://schemas.openxmlformats.org/officeDocument/2006/relationships" r:id="rId2"/>
            <a:extLst>
              <a:ext uri="{FF2B5EF4-FFF2-40B4-BE49-F238E27FC236}">
                <a16:creationId xmlns:a16="http://schemas.microsoft.com/office/drawing/2014/main" id="{CFA52884-36B4-BFC5-6A2F-D7DEF67FB54B}"/>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0" name="Graphic 9" descr="Home with solid fill">
            <a:hlinkClick xmlns:r="http://schemas.openxmlformats.org/officeDocument/2006/relationships" r:id="rId3"/>
            <a:extLst>
              <a:ext uri="{FF2B5EF4-FFF2-40B4-BE49-F238E27FC236}">
                <a16:creationId xmlns:a16="http://schemas.microsoft.com/office/drawing/2014/main" id="{8E76784C-0E6B-5D2C-44DA-EBECC16CEC1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1" name="Graphic 10" descr="User outline">
            <a:hlinkClick xmlns:r="http://schemas.openxmlformats.org/officeDocument/2006/relationships" r:id="rId6"/>
            <a:extLst>
              <a:ext uri="{FF2B5EF4-FFF2-40B4-BE49-F238E27FC236}">
                <a16:creationId xmlns:a16="http://schemas.microsoft.com/office/drawing/2014/main" id="{BC8432C1-4059-1696-F862-67A042D54A8E}"/>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6.xml><?xml version="1.0" encoding="utf-8"?>
<xdr:wsDr xmlns:xdr="http://schemas.openxmlformats.org/drawingml/2006/spreadsheetDrawing" xmlns:a="http://schemas.openxmlformats.org/drawingml/2006/main">
  <xdr:twoCellAnchor>
    <xdr:from>
      <xdr:col>2</xdr:col>
      <xdr:colOff>339911</xdr:colOff>
      <xdr:row>24</xdr:row>
      <xdr:rowOff>8964</xdr:rowOff>
    </xdr:from>
    <xdr:to>
      <xdr:col>2</xdr:col>
      <xdr:colOff>1254311</xdr:colOff>
      <xdr:row>25</xdr:row>
      <xdr:rowOff>43329</xdr:rowOff>
    </xdr:to>
    <xdr:pic>
      <xdr:nvPicPr>
        <xdr:cNvPr id="5" name="Graphic 4" descr="Badge 10 outline">
          <a:extLst>
            <a:ext uri="{FF2B5EF4-FFF2-40B4-BE49-F238E27FC236}">
              <a16:creationId xmlns:a16="http://schemas.microsoft.com/office/drawing/2014/main" id="{3EEEB0F1-1E92-9C97-548B-4F9D7BC01BA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997323" y="10871199"/>
          <a:ext cx="914400" cy="915895"/>
        </a:xfrm>
        <a:prstGeom prst="rect">
          <a:avLst/>
        </a:prstGeom>
      </xdr:spPr>
    </xdr:pic>
    <xdr:clientData/>
  </xdr:twoCellAnchor>
  <xdr:twoCellAnchor>
    <xdr:from>
      <xdr:col>2</xdr:col>
      <xdr:colOff>336923</xdr:colOff>
      <xdr:row>22</xdr:row>
      <xdr:rowOff>6044</xdr:rowOff>
    </xdr:from>
    <xdr:to>
      <xdr:col>2</xdr:col>
      <xdr:colOff>1257299</xdr:colOff>
      <xdr:row>23</xdr:row>
      <xdr:rowOff>42947</xdr:rowOff>
    </xdr:to>
    <xdr:pic>
      <xdr:nvPicPr>
        <xdr:cNvPr id="7" name="Graphic 6" descr="Badge 9 outline">
          <a:extLst>
            <a:ext uri="{FF2B5EF4-FFF2-40B4-BE49-F238E27FC236}">
              <a16:creationId xmlns:a16="http://schemas.microsoft.com/office/drawing/2014/main" id="{6DA2AB5B-786C-4896-81C5-13A82266DC7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994335" y="9799985"/>
          <a:ext cx="920376" cy="918433"/>
        </a:xfrm>
        <a:prstGeom prst="rect">
          <a:avLst/>
        </a:prstGeom>
      </xdr:spPr>
    </xdr:pic>
    <xdr:clientData/>
  </xdr:twoCellAnchor>
  <xdr:twoCellAnchor>
    <xdr:from>
      <xdr:col>2</xdr:col>
      <xdr:colOff>338753</xdr:colOff>
      <xdr:row>19</xdr:row>
      <xdr:rowOff>162616</xdr:rowOff>
    </xdr:from>
    <xdr:to>
      <xdr:col>2</xdr:col>
      <xdr:colOff>1255469</xdr:colOff>
      <xdr:row>21</xdr:row>
      <xdr:rowOff>12757</xdr:rowOff>
    </xdr:to>
    <xdr:pic>
      <xdr:nvPicPr>
        <xdr:cNvPr id="9" name="Graphic 8" descr="Badge 8 outline">
          <a:extLst>
            <a:ext uri="{FF2B5EF4-FFF2-40B4-BE49-F238E27FC236}">
              <a16:creationId xmlns:a16="http://schemas.microsoft.com/office/drawing/2014/main" id="{D5FB8D39-EC13-D9D6-6A96-3E486B105B5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996165" y="8701498"/>
          <a:ext cx="916716" cy="918435"/>
        </a:xfrm>
        <a:prstGeom prst="rect">
          <a:avLst/>
        </a:prstGeom>
      </xdr:spPr>
    </xdr:pic>
    <xdr:clientData/>
  </xdr:twoCellAnchor>
  <xdr:twoCellAnchor>
    <xdr:from>
      <xdr:col>2</xdr:col>
      <xdr:colOff>339911</xdr:colOff>
      <xdr:row>17</xdr:row>
      <xdr:rowOff>156033</xdr:rowOff>
    </xdr:from>
    <xdr:to>
      <xdr:col>2</xdr:col>
      <xdr:colOff>1254311</xdr:colOff>
      <xdr:row>19</xdr:row>
      <xdr:rowOff>3558</xdr:rowOff>
    </xdr:to>
    <xdr:pic>
      <xdr:nvPicPr>
        <xdr:cNvPr id="11" name="Graphic 10" descr="Badge 7 outline">
          <a:extLst>
            <a:ext uri="{FF2B5EF4-FFF2-40B4-BE49-F238E27FC236}">
              <a16:creationId xmlns:a16="http://schemas.microsoft.com/office/drawing/2014/main" id="{92E966CA-69CA-7A0A-DC09-4FA1BF9BC07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97323" y="7626621"/>
          <a:ext cx="914400" cy="915819"/>
        </a:xfrm>
        <a:prstGeom prst="rect">
          <a:avLst/>
        </a:prstGeom>
      </xdr:spPr>
    </xdr:pic>
    <xdr:clientData/>
  </xdr:twoCellAnchor>
  <xdr:twoCellAnchor>
    <xdr:from>
      <xdr:col>2</xdr:col>
      <xdr:colOff>339911</xdr:colOff>
      <xdr:row>15</xdr:row>
      <xdr:rowOff>166804</xdr:rowOff>
    </xdr:from>
    <xdr:to>
      <xdr:col>2</xdr:col>
      <xdr:colOff>1254311</xdr:colOff>
      <xdr:row>17</xdr:row>
      <xdr:rowOff>14404</xdr:rowOff>
    </xdr:to>
    <xdr:pic>
      <xdr:nvPicPr>
        <xdr:cNvPr id="13" name="Graphic 12" descr="Badge 6 outline">
          <a:extLst>
            <a:ext uri="{FF2B5EF4-FFF2-40B4-BE49-F238E27FC236}">
              <a16:creationId xmlns:a16="http://schemas.microsoft.com/office/drawing/2014/main" id="{11572C79-2929-C909-EA04-B3579217F963}"/>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997323" y="6569098"/>
          <a:ext cx="914400" cy="915894"/>
        </a:xfrm>
        <a:prstGeom prst="rect">
          <a:avLst/>
        </a:prstGeom>
      </xdr:spPr>
    </xdr:pic>
    <xdr:clientData/>
  </xdr:twoCellAnchor>
  <xdr:twoCellAnchor>
    <xdr:from>
      <xdr:col>2</xdr:col>
      <xdr:colOff>339911</xdr:colOff>
      <xdr:row>14</xdr:row>
      <xdr:rowOff>3437</xdr:rowOff>
    </xdr:from>
    <xdr:to>
      <xdr:col>2</xdr:col>
      <xdr:colOff>1254311</xdr:colOff>
      <xdr:row>15</xdr:row>
      <xdr:rowOff>37802</xdr:rowOff>
    </xdr:to>
    <xdr:pic>
      <xdr:nvPicPr>
        <xdr:cNvPr id="15" name="Graphic 14" descr="Badge 5 outline">
          <a:extLst>
            <a:ext uri="{FF2B5EF4-FFF2-40B4-BE49-F238E27FC236}">
              <a16:creationId xmlns:a16="http://schemas.microsoft.com/office/drawing/2014/main" id="{D8B6BD4D-383C-C6EC-867E-59D2396CA56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997323" y="5524202"/>
          <a:ext cx="914400" cy="915894"/>
        </a:xfrm>
        <a:prstGeom prst="rect">
          <a:avLst/>
        </a:prstGeom>
      </xdr:spPr>
    </xdr:pic>
    <xdr:clientData/>
  </xdr:twoCellAnchor>
  <xdr:twoCellAnchor>
    <xdr:from>
      <xdr:col>2</xdr:col>
      <xdr:colOff>348166</xdr:colOff>
      <xdr:row>33</xdr:row>
      <xdr:rowOff>153538</xdr:rowOff>
    </xdr:from>
    <xdr:to>
      <xdr:col>2</xdr:col>
      <xdr:colOff>1246056</xdr:colOff>
      <xdr:row>35</xdr:row>
      <xdr:rowOff>10028</xdr:rowOff>
    </xdr:to>
    <xdr:pic>
      <xdr:nvPicPr>
        <xdr:cNvPr id="17" name="Graphic 16" descr="Badge 4 outline">
          <a:extLst>
            <a:ext uri="{FF2B5EF4-FFF2-40B4-BE49-F238E27FC236}">
              <a16:creationId xmlns:a16="http://schemas.microsoft.com/office/drawing/2014/main" id="{82A87AA2-54F5-1C93-3E4C-1E2FFA65D7F6}"/>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005578" y="15520538"/>
          <a:ext cx="897890" cy="924784"/>
        </a:xfrm>
        <a:prstGeom prst="rect">
          <a:avLst/>
        </a:prstGeom>
      </xdr:spPr>
    </xdr:pic>
    <xdr:clientData/>
  </xdr:twoCellAnchor>
  <xdr:twoCellAnchor>
    <xdr:from>
      <xdr:col>2</xdr:col>
      <xdr:colOff>334196</xdr:colOff>
      <xdr:row>9</xdr:row>
      <xdr:rowOff>165656</xdr:rowOff>
    </xdr:from>
    <xdr:to>
      <xdr:col>2</xdr:col>
      <xdr:colOff>1260026</xdr:colOff>
      <xdr:row>11</xdr:row>
      <xdr:rowOff>13256</xdr:rowOff>
    </xdr:to>
    <xdr:pic>
      <xdr:nvPicPr>
        <xdr:cNvPr id="19" name="Graphic 18" descr="Badge 3 outline">
          <a:extLst>
            <a:ext uri="{FF2B5EF4-FFF2-40B4-BE49-F238E27FC236}">
              <a16:creationId xmlns:a16="http://schemas.microsoft.com/office/drawing/2014/main" id="{419F49BD-4D89-9A6C-4488-878C376C34C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991608" y="3363068"/>
          <a:ext cx="925830" cy="915894"/>
        </a:xfrm>
        <a:prstGeom prst="rect">
          <a:avLst/>
        </a:prstGeom>
      </xdr:spPr>
    </xdr:pic>
    <xdr:clientData/>
  </xdr:twoCellAnchor>
  <xdr:twoCellAnchor>
    <xdr:from>
      <xdr:col>2</xdr:col>
      <xdr:colOff>332291</xdr:colOff>
      <xdr:row>7</xdr:row>
      <xdr:rowOff>159023</xdr:rowOff>
    </xdr:from>
    <xdr:to>
      <xdr:col>2</xdr:col>
      <xdr:colOff>1261931</xdr:colOff>
      <xdr:row>9</xdr:row>
      <xdr:rowOff>10433</xdr:rowOff>
    </xdr:to>
    <xdr:pic>
      <xdr:nvPicPr>
        <xdr:cNvPr id="21" name="Graphic 20" descr="Badge outline">
          <a:extLst>
            <a:ext uri="{FF2B5EF4-FFF2-40B4-BE49-F238E27FC236}">
              <a16:creationId xmlns:a16="http://schemas.microsoft.com/office/drawing/2014/main" id="{F348C673-AF63-3C98-8C1F-BA884DCAB8FE}"/>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989703" y="2288141"/>
          <a:ext cx="929640" cy="919704"/>
        </a:xfrm>
        <a:prstGeom prst="rect">
          <a:avLst/>
        </a:prstGeom>
      </xdr:spPr>
    </xdr:pic>
    <xdr:clientData/>
  </xdr:twoCellAnchor>
  <xdr:twoCellAnchor>
    <xdr:from>
      <xdr:col>2</xdr:col>
      <xdr:colOff>330386</xdr:colOff>
      <xdr:row>5</xdr:row>
      <xdr:rowOff>157470</xdr:rowOff>
    </xdr:from>
    <xdr:to>
      <xdr:col>2</xdr:col>
      <xdr:colOff>1263836</xdr:colOff>
      <xdr:row>7</xdr:row>
      <xdr:rowOff>3800</xdr:rowOff>
    </xdr:to>
    <xdr:pic>
      <xdr:nvPicPr>
        <xdr:cNvPr id="23" name="Graphic 22" descr="Badge 1 outline">
          <a:extLst>
            <a:ext uri="{FF2B5EF4-FFF2-40B4-BE49-F238E27FC236}">
              <a16:creationId xmlns:a16="http://schemas.microsoft.com/office/drawing/2014/main" id="{0C1C0300-49E1-9847-BEAA-44340468146A}"/>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987798" y="1218294"/>
          <a:ext cx="933450" cy="914624"/>
        </a:xfrm>
        <a:prstGeom prst="rect">
          <a:avLst/>
        </a:prstGeom>
      </xdr:spPr>
    </xdr:pic>
    <xdr:clientData/>
  </xdr:twoCellAnchor>
  <xdr:twoCellAnchor>
    <xdr:from>
      <xdr:col>2</xdr:col>
      <xdr:colOff>334831</xdr:colOff>
      <xdr:row>28</xdr:row>
      <xdr:rowOff>5080</xdr:rowOff>
    </xdr:from>
    <xdr:to>
      <xdr:col>2</xdr:col>
      <xdr:colOff>1259391</xdr:colOff>
      <xdr:row>29</xdr:row>
      <xdr:rowOff>38100</xdr:rowOff>
    </xdr:to>
    <xdr:pic>
      <xdr:nvPicPr>
        <xdr:cNvPr id="25" name="Graphic 24" descr="Badge 1 outline">
          <a:extLst>
            <a:ext uri="{FF2B5EF4-FFF2-40B4-BE49-F238E27FC236}">
              <a16:creationId xmlns:a16="http://schemas.microsoft.com/office/drawing/2014/main" id="{56C40833-D014-43BC-99D0-99C0ED0CFB23}"/>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992243" y="12353962"/>
          <a:ext cx="924560" cy="914550"/>
        </a:xfrm>
        <a:prstGeom prst="rect">
          <a:avLst/>
        </a:prstGeom>
      </xdr:spPr>
    </xdr:pic>
    <xdr:clientData/>
  </xdr:twoCellAnchor>
  <xdr:twoCellAnchor>
    <xdr:from>
      <xdr:col>2</xdr:col>
      <xdr:colOff>334831</xdr:colOff>
      <xdr:row>29</xdr:row>
      <xdr:rowOff>174363</xdr:rowOff>
    </xdr:from>
    <xdr:to>
      <xdr:col>2</xdr:col>
      <xdr:colOff>1259391</xdr:colOff>
      <xdr:row>31</xdr:row>
      <xdr:rowOff>25773</xdr:rowOff>
    </xdr:to>
    <xdr:pic>
      <xdr:nvPicPr>
        <xdr:cNvPr id="28" name="Graphic 27" descr="Badge outline">
          <a:extLst>
            <a:ext uri="{FF2B5EF4-FFF2-40B4-BE49-F238E27FC236}">
              <a16:creationId xmlns:a16="http://schemas.microsoft.com/office/drawing/2014/main" id="{300F7D7F-6854-4EC5-976F-3B49A0BB300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992243" y="13404775"/>
          <a:ext cx="924560" cy="919704"/>
        </a:xfrm>
        <a:prstGeom prst="rect">
          <a:avLst/>
        </a:prstGeom>
      </xdr:spPr>
    </xdr:pic>
    <xdr:clientData/>
  </xdr:twoCellAnchor>
  <xdr:twoCellAnchor>
    <xdr:from>
      <xdr:col>2</xdr:col>
      <xdr:colOff>336101</xdr:colOff>
      <xdr:row>32</xdr:row>
      <xdr:rowOff>0</xdr:rowOff>
    </xdr:from>
    <xdr:to>
      <xdr:col>2</xdr:col>
      <xdr:colOff>1258121</xdr:colOff>
      <xdr:row>33</xdr:row>
      <xdr:rowOff>34364</xdr:rowOff>
    </xdr:to>
    <xdr:pic>
      <xdr:nvPicPr>
        <xdr:cNvPr id="29" name="Graphic 28" descr="Badge 3 outline">
          <a:extLst>
            <a:ext uri="{FF2B5EF4-FFF2-40B4-BE49-F238E27FC236}">
              <a16:creationId xmlns:a16="http://schemas.microsoft.com/office/drawing/2014/main" id="{4CCC2BAE-ACE3-4659-A490-77C7E2C0F08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993513" y="14485471"/>
          <a:ext cx="922020" cy="915893"/>
        </a:xfrm>
        <a:prstGeom prst="rect">
          <a:avLst/>
        </a:prstGeom>
      </xdr:spPr>
    </xdr:pic>
    <xdr:clientData/>
  </xdr:twoCellAnchor>
  <xdr:twoCellAnchor>
    <xdr:from>
      <xdr:col>2</xdr:col>
      <xdr:colOff>348801</xdr:colOff>
      <xdr:row>11</xdr:row>
      <xdr:rowOff>161813</xdr:rowOff>
    </xdr:from>
    <xdr:to>
      <xdr:col>2</xdr:col>
      <xdr:colOff>1245421</xdr:colOff>
      <xdr:row>13</xdr:row>
      <xdr:rowOff>22113</xdr:rowOff>
    </xdr:to>
    <xdr:pic>
      <xdr:nvPicPr>
        <xdr:cNvPr id="30" name="Graphic 29" descr="Badge 4 outline">
          <a:extLst>
            <a:ext uri="{FF2B5EF4-FFF2-40B4-BE49-F238E27FC236}">
              <a16:creationId xmlns:a16="http://schemas.microsoft.com/office/drawing/2014/main" id="{D08A4E05-8C66-448A-9CD4-FF906966721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006213" y="4427519"/>
          <a:ext cx="896620" cy="928594"/>
        </a:xfrm>
        <a:prstGeom prst="rect">
          <a:avLst/>
        </a:prstGeom>
      </xdr:spPr>
    </xdr:pic>
    <xdr:clientData/>
  </xdr:twoCellAnchor>
  <xdr:twoCellAnchor>
    <xdr:from>
      <xdr:col>2</xdr:col>
      <xdr:colOff>339911</xdr:colOff>
      <xdr:row>35</xdr:row>
      <xdr:rowOff>161813</xdr:rowOff>
    </xdr:from>
    <xdr:to>
      <xdr:col>2</xdr:col>
      <xdr:colOff>1254311</xdr:colOff>
      <xdr:row>37</xdr:row>
      <xdr:rowOff>9413</xdr:rowOff>
    </xdr:to>
    <xdr:pic>
      <xdr:nvPicPr>
        <xdr:cNvPr id="31" name="Graphic 30" descr="Badge 5 outline">
          <a:extLst>
            <a:ext uri="{FF2B5EF4-FFF2-40B4-BE49-F238E27FC236}">
              <a16:creationId xmlns:a16="http://schemas.microsoft.com/office/drawing/2014/main" id="{786165C7-F8B1-495D-9A2C-FEC1E101148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997323" y="16597107"/>
          <a:ext cx="914400" cy="915894"/>
        </a:xfrm>
        <a:prstGeom prst="rect">
          <a:avLst/>
        </a:prstGeom>
      </xdr:spPr>
    </xdr:pic>
    <xdr:clientData/>
  </xdr:twoCellAnchor>
  <xdr:twoCellAnchor>
    <xdr:from>
      <xdr:col>2</xdr:col>
      <xdr:colOff>335466</xdr:colOff>
      <xdr:row>42</xdr:row>
      <xdr:rowOff>291502</xdr:rowOff>
    </xdr:from>
    <xdr:to>
      <xdr:col>2</xdr:col>
      <xdr:colOff>1258756</xdr:colOff>
      <xdr:row>43</xdr:row>
      <xdr:rowOff>319443</xdr:rowOff>
    </xdr:to>
    <xdr:pic>
      <xdr:nvPicPr>
        <xdr:cNvPr id="32" name="Graphic 31" descr="Badge 1 outline">
          <a:extLst>
            <a:ext uri="{FF2B5EF4-FFF2-40B4-BE49-F238E27FC236}">
              <a16:creationId xmlns:a16="http://schemas.microsoft.com/office/drawing/2014/main" id="{747D14B9-D5E1-5CB5-2A72-61D1E22D326B}"/>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992878" y="20163267"/>
          <a:ext cx="923290" cy="909470"/>
        </a:xfrm>
        <a:prstGeom prst="rect">
          <a:avLst/>
        </a:prstGeom>
      </xdr:spPr>
    </xdr:pic>
    <xdr:clientData/>
  </xdr:twoCellAnchor>
  <xdr:twoCellAnchor>
    <xdr:from>
      <xdr:col>2</xdr:col>
      <xdr:colOff>336101</xdr:colOff>
      <xdr:row>46</xdr:row>
      <xdr:rowOff>158153</xdr:rowOff>
    </xdr:from>
    <xdr:to>
      <xdr:col>2</xdr:col>
      <xdr:colOff>1258121</xdr:colOff>
      <xdr:row>48</xdr:row>
      <xdr:rowOff>9562</xdr:rowOff>
    </xdr:to>
    <xdr:pic>
      <xdr:nvPicPr>
        <xdr:cNvPr id="33" name="Graphic 32" descr="Badge outline">
          <a:extLst>
            <a:ext uri="{FF2B5EF4-FFF2-40B4-BE49-F238E27FC236}">
              <a16:creationId xmlns:a16="http://schemas.microsoft.com/office/drawing/2014/main" id="{93BF8391-61D3-B370-80AA-043A87588B2F}"/>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993513" y="23556035"/>
          <a:ext cx="922020" cy="919703"/>
        </a:xfrm>
        <a:prstGeom prst="rect">
          <a:avLst/>
        </a:prstGeom>
      </xdr:spPr>
    </xdr:pic>
    <xdr:clientData/>
  </xdr:twoCellAnchor>
  <xdr:twoCellAnchor>
    <xdr:from>
      <xdr:col>2</xdr:col>
      <xdr:colOff>339276</xdr:colOff>
      <xdr:row>52</xdr:row>
      <xdr:rowOff>170701</xdr:rowOff>
    </xdr:from>
    <xdr:to>
      <xdr:col>2</xdr:col>
      <xdr:colOff>1257486</xdr:colOff>
      <xdr:row>54</xdr:row>
      <xdr:rowOff>16958</xdr:rowOff>
    </xdr:to>
    <xdr:pic>
      <xdr:nvPicPr>
        <xdr:cNvPr id="36" name="Graphic 35" descr="Badge 1 outline">
          <a:extLst>
            <a:ext uri="{FF2B5EF4-FFF2-40B4-BE49-F238E27FC236}">
              <a16:creationId xmlns:a16="http://schemas.microsoft.com/office/drawing/2014/main" id="{EB9AF214-EE78-5508-3FB1-6BE0E84DFBB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996688" y="26123525"/>
          <a:ext cx="918210" cy="914551"/>
        </a:xfrm>
        <a:prstGeom prst="rect">
          <a:avLst/>
        </a:prstGeom>
      </xdr:spPr>
    </xdr:pic>
    <xdr:clientData/>
  </xdr:twoCellAnchor>
  <xdr:twoCellAnchor>
    <xdr:from>
      <xdr:col>2</xdr:col>
      <xdr:colOff>336736</xdr:colOff>
      <xdr:row>54</xdr:row>
      <xdr:rowOff>175634</xdr:rowOff>
    </xdr:from>
    <xdr:to>
      <xdr:col>2</xdr:col>
      <xdr:colOff>1257486</xdr:colOff>
      <xdr:row>56</xdr:row>
      <xdr:rowOff>27043</xdr:rowOff>
    </xdr:to>
    <xdr:pic>
      <xdr:nvPicPr>
        <xdr:cNvPr id="44" name="Graphic 43" descr="Badge outline">
          <a:extLst>
            <a:ext uri="{FF2B5EF4-FFF2-40B4-BE49-F238E27FC236}">
              <a16:creationId xmlns:a16="http://schemas.microsoft.com/office/drawing/2014/main" id="{703630D7-B230-105E-F1B6-47E072E5049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994148" y="27196752"/>
          <a:ext cx="920750" cy="919703"/>
        </a:xfrm>
        <a:prstGeom prst="rect">
          <a:avLst/>
        </a:prstGeom>
      </xdr:spPr>
    </xdr:pic>
    <xdr:clientData/>
  </xdr:twoCellAnchor>
  <xdr:twoCellAnchor>
    <xdr:from>
      <xdr:col>2</xdr:col>
      <xdr:colOff>348166</xdr:colOff>
      <xdr:row>58</xdr:row>
      <xdr:rowOff>153537</xdr:rowOff>
    </xdr:from>
    <xdr:to>
      <xdr:col>2</xdr:col>
      <xdr:colOff>1246056</xdr:colOff>
      <xdr:row>60</xdr:row>
      <xdr:rowOff>7487</xdr:rowOff>
    </xdr:to>
    <xdr:pic>
      <xdr:nvPicPr>
        <xdr:cNvPr id="45" name="Graphic 44" descr="Badge 4 outline">
          <a:extLst>
            <a:ext uri="{FF2B5EF4-FFF2-40B4-BE49-F238E27FC236}">
              <a16:creationId xmlns:a16="http://schemas.microsoft.com/office/drawing/2014/main" id="{723A343E-2DFE-4E79-B8FD-564B2682511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005578" y="29311243"/>
          <a:ext cx="897890" cy="922244"/>
        </a:xfrm>
        <a:prstGeom prst="rect">
          <a:avLst/>
        </a:prstGeom>
      </xdr:spPr>
    </xdr:pic>
    <xdr:clientData/>
  </xdr:twoCellAnchor>
  <xdr:twoCellAnchor>
    <xdr:from>
      <xdr:col>2</xdr:col>
      <xdr:colOff>334196</xdr:colOff>
      <xdr:row>57</xdr:row>
      <xdr:rowOff>0</xdr:rowOff>
    </xdr:from>
    <xdr:to>
      <xdr:col>2</xdr:col>
      <xdr:colOff>1260026</xdr:colOff>
      <xdr:row>58</xdr:row>
      <xdr:rowOff>34363</xdr:rowOff>
    </xdr:to>
    <xdr:pic>
      <xdr:nvPicPr>
        <xdr:cNvPr id="46" name="Graphic 45" descr="Badge 3 outline">
          <a:extLst>
            <a:ext uri="{FF2B5EF4-FFF2-40B4-BE49-F238E27FC236}">
              <a16:creationId xmlns:a16="http://schemas.microsoft.com/office/drawing/2014/main" id="{E690A2F2-BF30-40CF-A8F1-A2CA953CE63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991608" y="28276176"/>
          <a:ext cx="925830" cy="915893"/>
        </a:xfrm>
        <a:prstGeom prst="rect">
          <a:avLst/>
        </a:prstGeom>
      </xdr:spPr>
    </xdr:pic>
    <xdr:clientData/>
  </xdr:twoCellAnchor>
  <xdr:twoCellAnchor>
    <xdr:from>
      <xdr:col>2</xdr:col>
      <xdr:colOff>339911</xdr:colOff>
      <xdr:row>60</xdr:row>
      <xdr:rowOff>159272</xdr:rowOff>
    </xdr:from>
    <xdr:to>
      <xdr:col>2</xdr:col>
      <xdr:colOff>1254311</xdr:colOff>
      <xdr:row>62</xdr:row>
      <xdr:rowOff>6872</xdr:rowOff>
    </xdr:to>
    <xdr:pic>
      <xdr:nvPicPr>
        <xdr:cNvPr id="47" name="Graphic 46" descr="Badge 5 outline">
          <a:extLst>
            <a:ext uri="{FF2B5EF4-FFF2-40B4-BE49-F238E27FC236}">
              <a16:creationId xmlns:a16="http://schemas.microsoft.com/office/drawing/2014/main" id="{27B1B7F7-97BC-42E3-A0A0-E5732B0B5607}"/>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997323" y="30385272"/>
          <a:ext cx="914400" cy="915894"/>
        </a:xfrm>
        <a:prstGeom prst="rect">
          <a:avLst/>
        </a:prstGeom>
      </xdr:spPr>
    </xdr:pic>
    <xdr:clientData/>
  </xdr:twoCellAnchor>
  <xdr:twoCellAnchor>
    <xdr:from>
      <xdr:col>2</xdr:col>
      <xdr:colOff>339276</xdr:colOff>
      <xdr:row>48</xdr:row>
      <xdr:rowOff>169288</xdr:rowOff>
    </xdr:from>
    <xdr:to>
      <xdr:col>2</xdr:col>
      <xdr:colOff>1260026</xdr:colOff>
      <xdr:row>50</xdr:row>
      <xdr:rowOff>16886</xdr:rowOff>
    </xdr:to>
    <xdr:pic>
      <xdr:nvPicPr>
        <xdr:cNvPr id="48" name="Graphic 47" descr="Badge 3 outline">
          <a:extLst>
            <a:ext uri="{FF2B5EF4-FFF2-40B4-BE49-F238E27FC236}">
              <a16:creationId xmlns:a16="http://schemas.microsoft.com/office/drawing/2014/main" id="{F0B6C611-AB16-CF76-D62E-7F17C96CC02A}"/>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996688" y="24635464"/>
          <a:ext cx="920750" cy="915893"/>
        </a:xfrm>
        <a:prstGeom prst="rect">
          <a:avLst/>
        </a:prstGeom>
      </xdr:spPr>
    </xdr:pic>
    <xdr:clientData/>
  </xdr:twoCellAnchor>
  <xdr:twoCellAnchor>
    <xdr:from>
      <xdr:col>2</xdr:col>
      <xdr:colOff>339911</xdr:colOff>
      <xdr:row>62</xdr:row>
      <xdr:rowOff>161813</xdr:rowOff>
    </xdr:from>
    <xdr:to>
      <xdr:col>2</xdr:col>
      <xdr:colOff>1254311</xdr:colOff>
      <xdr:row>64</xdr:row>
      <xdr:rowOff>9413</xdr:rowOff>
    </xdr:to>
    <xdr:pic>
      <xdr:nvPicPr>
        <xdr:cNvPr id="50" name="Graphic 49" descr="Badge 6 outline">
          <a:extLst>
            <a:ext uri="{FF2B5EF4-FFF2-40B4-BE49-F238E27FC236}">
              <a16:creationId xmlns:a16="http://schemas.microsoft.com/office/drawing/2014/main" id="{52D7109A-D23A-4D9B-8CED-8C5462EDF72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997323" y="31456107"/>
          <a:ext cx="914400" cy="915894"/>
        </a:xfrm>
        <a:prstGeom prst="rect">
          <a:avLst/>
        </a:prstGeom>
      </xdr:spPr>
    </xdr:pic>
    <xdr:clientData/>
  </xdr:twoCellAnchor>
  <xdr:twoCellAnchor>
    <xdr:from>
      <xdr:col>0</xdr:col>
      <xdr:colOff>7004</xdr:colOff>
      <xdr:row>0</xdr:row>
      <xdr:rowOff>3968</xdr:rowOff>
    </xdr:from>
    <xdr:to>
      <xdr:col>1</xdr:col>
      <xdr:colOff>250255</xdr:colOff>
      <xdr:row>3</xdr:row>
      <xdr:rowOff>10500</xdr:rowOff>
    </xdr:to>
    <xdr:grpSp>
      <xdr:nvGrpSpPr>
        <xdr:cNvPr id="57" name="Group 2">
          <a:extLst>
            <a:ext uri="{FF2B5EF4-FFF2-40B4-BE49-F238E27FC236}">
              <a16:creationId xmlns:a16="http://schemas.microsoft.com/office/drawing/2014/main" id="{ED007848-BA8B-40EA-A1FE-F603D1394F21}"/>
            </a:ext>
          </a:extLst>
        </xdr:cNvPr>
        <xdr:cNvGrpSpPr/>
      </xdr:nvGrpSpPr>
      <xdr:grpSpPr>
        <a:xfrm>
          <a:off x="7004" y="3968"/>
          <a:ext cx="633776" cy="635182"/>
          <a:chOff x="8756769" y="4362234"/>
          <a:chExt cx="648000" cy="651646"/>
        </a:xfrm>
      </xdr:grpSpPr>
      <xdr:sp macro="" textlink="">
        <xdr:nvSpPr>
          <xdr:cNvPr id="58" name="Rectangle 3">
            <a:extLst>
              <a:ext uri="{FF2B5EF4-FFF2-40B4-BE49-F238E27FC236}">
                <a16:creationId xmlns:a16="http://schemas.microsoft.com/office/drawing/2014/main" id="{3B1AFC23-0E1A-B3AE-D4DD-82F4FECBFA6A}"/>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59" name="Oval 5">
            <a:hlinkClick xmlns:r="http://schemas.openxmlformats.org/officeDocument/2006/relationships" r:id="rId21"/>
            <a:extLst>
              <a:ext uri="{FF2B5EF4-FFF2-40B4-BE49-F238E27FC236}">
                <a16:creationId xmlns:a16="http://schemas.microsoft.com/office/drawing/2014/main" id="{F555BF96-2F2D-5B08-1D0A-1FC6F53CA60E}"/>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60" name="Oval 7">
            <a:hlinkClick xmlns:r="http://schemas.openxmlformats.org/officeDocument/2006/relationships" r:id="rId22"/>
            <a:extLst>
              <a:ext uri="{FF2B5EF4-FFF2-40B4-BE49-F238E27FC236}">
                <a16:creationId xmlns:a16="http://schemas.microsoft.com/office/drawing/2014/main" id="{38080441-8B58-9389-B451-0DD352C2969D}"/>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61" name="Graphic 9" descr="Home with solid fill">
            <a:hlinkClick xmlns:r="http://schemas.openxmlformats.org/officeDocument/2006/relationships" r:id="rId23"/>
            <a:extLst>
              <a:ext uri="{FF2B5EF4-FFF2-40B4-BE49-F238E27FC236}">
                <a16:creationId xmlns:a16="http://schemas.microsoft.com/office/drawing/2014/main" id="{76581E11-78E0-28A5-E525-6C2B1A7389EB}"/>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62" name="Graphic 11" descr="User outline">
            <a:hlinkClick xmlns:r="http://schemas.openxmlformats.org/officeDocument/2006/relationships" r:id="rId26"/>
            <a:extLst>
              <a:ext uri="{FF2B5EF4-FFF2-40B4-BE49-F238E27FC236}">
                <a16:creationId xmlns:a16="http://schemas.microsoft.com/office/drawing/2014/main" id="{1F50E1EB-7957-303A-8618-9A6979278E9B}"/>
              </a:ext>
            </a:extLst>
          </xdr:cNvPr>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63500</xdr:colOff>
      <xdr:row>0</xdr:row>
      <xdr:rowOff>48846</xdr:rowOff>
    </xdr:from>
    <xdr:to>
      <xdr:col>1</xdr:col>
      <xdr:colOff>304740</xdr:colOff>
      <xdr:row>2</xdr:row>
      <xdr:rowOff>243580</xdr:rowOff>
    </xdr:to>
    <xdr:grpSp>
      <xdr:nvGrpSpPr>
        <xdr:cNvPr id="12" name="Group 1">
          <a:extLst>
            <a:ext uri="{FF2B5EF4-FFF2-40B4-BE49-F238E27FC236}">
              <a16:creationId xmlns:a16="http://schemas.microsoft.com/office/drawing/2014/main" id="{2F7B38CD-E291-4B74-BA32-3EE551586A3A}"/>
            </a:ext>
          </a:extLst>
        </xdr:cNvPr>
        <xdr:cNvGrpSpPr/>
      </xdr:nvGrpSpPr>
      <xdr:grpSpPr>
        <a:xfrm>
          <a:off x="63500" y="48846"/>
          <a:ext cx="631765" cy="642409"/>
          <a:chOff x="8756769" y="4362234"/>
          <a:chExt cx="648000" cy="651646"/>
        </a:xfrm>
      </xdr:grpSpPr>
      <xdr:sp macro="" textlink="">
        <xdr:nvSpPr>
          <xdr:cNvPr id="13" name="Rectangle 3">
            <a:extLst>
              <a:ext uri="{FF2B5EF4-FFF2-40B4-BE49-F238E27FC236}">
                <a16:creationId xmlns:a16="http://schemas.microsoft.com/office/drawing/2014/main" id="{362F6DEF-EB14-8883-806C-0D458C0F603B}"/>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4" name="Oval 7">
            <a:hlinkClick xmlns:r="http://schemas.openxmlformats.org/officeDocument/2006/relationships" r:id="rId1"/>
            <a:extLst>
              <a:ext uri="{FF2B5EF4-FFF2-40B4-BE49-F238E27FC236}">
                <a16:creationId xmlns:a16="http://schemas.microsoft.com/office/drawing/2014/main" id="{C4DA7AB5-D9DF-FC6D-BAB6-B72E87DEEA80}"/>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5" name="Oval 8">
            <a:hlinkClick xmlns:r="http://schemas.openxmlformats.org/officeDocument/2006/relationships" r:id="rId2"/>
            <a:extLst>
              <a:ext uri="{FF2B5EF4-FFF2-40B4-BE49-F238E27FC236}">
                <a16:creationId xmlns:a16="http://schemas.microsoft.com/office/drawing/2014/main" id="{ACB4CD99-66C6-3B87-D935-516A2392AD24}"/>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6" name="Graphic 9" descr="Home with solid fill">
            <a:hlinkClick xmlns:r="http://schemas.openxmlformats.org/officeDocument/2006/relationships" r:id="rId3"/>
            <a:extLst>
              <a:ext uri="{FF2B5EF4-FFF2-40B4-BE49-F238E27FC236}">
                <a16:creationId xmlns:a16="http://schemas.microsoft.com/office/drawing/2014/main" id="{EE6A2A09-14B2-B19F-1064-124F98DCBD9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7" name="Graphic 10" descr="User outline">
            <a:hlinkClick xmlns:r="http://schemas.openxmlformats.org/officeDocument/2006/relationships" r:id="rId6"/>
            <a:extLst>
              <a:ext uri="{FF2B5EF4-FFF2-40B4-BE49-F238E27FC236}">
                <a16:creationId xmlns:a16="http://schemas.microsoft.com/office/drawing/2014/main" id="{5AC98AAF-4D60-A1D3-9A4E-9C895F6F8C21}"/>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8.xml><?xml version="1.0" encoding="utf-8"?>
<xdr:wsDr xmlns:xdr="http://schemas.openxmlformats.org/drawingml/2006/spreadsheetDrawing" xmlns:a="http://schemas.openxmlformats.org/drawingml/2006/main">
  <xdr:twoCellAnchor>
    <xdr:from>
      <xdr:col>4</xdr:col>
      <xdr:colOff>774700</xdr:colOff>
      <xdr:row>13</xdr:row>
      <xdr:rowOff>3810</xdr:rowOff>
    </xdr:from>
    <xdr:to>
      <xdr:col>5</xdr:col>
      <xdr:colOff>800100</xdr:colOff>
      <xdr:row>15</xdr:row>
      <xdr:rowOff>0</xdr:rowOff>
    </xdr:to>
    <xdr:sp macro="" textlink="">
      <xdr:nvSpPr>
        <xdr:cNvPr id="2" name="Arrow: Right 1">
          <a:extLst>
            <a:ext uri="{FF2B5EF4-FFF2-40B4-BE49-F238E27FC236}">
              <a16:creationId xmlns:a16="http://schemas.microsoft.com/office/drawing/2014/main" id="{00000000-0008-0000-0500-000002000000}"/>
            </a:ext>
          </a:extLst>
        </xdr:cNvPr>
        <xdr:cNvSpPr/>
      </xdr:nvSpPr>
      <xdr:spPr>
        <a:xfrm>
          <a:off x="2406650" y="2524760"/>
          <a:ext cx="1174750" cy="563880"/>
        </a:xfrm>
        <a:prstGeom prst="rightArrow">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100" i="1">
              <a:solidFill>
                <a:sysClr val="windowText" lastClr="000000"/>
              </a:solidFill>
            </a:rPr>
            <a:t>Category </a:t>
          </a:r>
          <a:r>
            <a:rPr lang="en-AU" sz="1100" i="1" baseline="30000">
              <a:solidFill>
                <a:sysClr val="windowText" lastClr="000000"/>
              </a:solidFill>
            </a:rPr>
            <a:t>3</a:t>
          </a:r>
        </a:p>
      </xdr:txBody>
    </xdr:sp>
    <xdr:clientData/>
  </xdr:twoCellAnchor>
  <xdr:twoCellAnchor>
    <xdr:from>
      <xdr:col>0</xdr:col>
      <xdr:colOff>82550</xdr:colOff>
      <xdr:row>1</xdr:row>
      <xdr:rowOff>0</xdr:rowOff>
    </xdr:from>
    <xdr:to>
      <xdr:col>1</xdr:col>
      <xdr:colOff>322813</xdr:colOff>
      <xdr:row>4</xdr:row>
      <xdr:rowOff>14003</xdr:rowOff>
    </xdr:to>
    <xdr:grpSp>
      <xdr:nvGrpSpPr>
        <xdr:cNvPr id="13" name="Group 3">
          <a:extLst>
            <a:ext uri="{FF2B5EF4-FFF2-40B4-BE49-F238E27FC236}">
              <a16:creationId xmlns:a16="http://schemas.microsoft.com/office/drawing/2014/main" id="{D0F4686D-7C84-4899-A950-86229B4556DC}"/>
            </a:ext>
          </a:extLst>
        </xdr:cNvPr>
        <xdr:cNvGrpSpPr/>
      </xdr:nvGrpSpPr>
      <xdr:grpSpPr>
        <a:xfrm>
          <a:off x="82550" y="180975"/>
          <a:ext cx="630788" cy="642653"/>
          <a:chOff x="8756769" y="4362234"/>
          <a:chExt cx="648000" cy="651646"/>
        </a:xfrm>
      </xdr:grpSpPr>
      <xdr:sp macro="" textlink="">
        <xdr:nvSpPr>
          <xdr:cNvPr id="14" name="Rectangle 4">
            <a:extLst>
              <a:ext uri="{FF2B5EF4-FFF2-40B4-BE49-F238E27FC236}">
                <a16:creationId xmlns:a16="http://schemas.microsoft.com/office/drawing/2014/main" id="{8F205525-664D-AA9B-18FD-5BB7E1B9918E}"/>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15" name="Oval 8">
            <a:hlinkClick xmlns:r="http://schemas.openxmlformats.org/officeDocument/2006/relationships" r:id="rId1"/>
            <a:extLst>
              <a:ext uri="{FF2B5EF4-FFF2-40B4-BE49-F238E27FC236}">
                <a16:creationId xmlns:a16="http://schemas.microsoft.com/office/drawing/2014/main" id="{7650535B-C731-F9E6-F11E-6157DF4CC044}"/>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16" name="Oval 9">
            <a:hlinkClick xmlns:r="http://schemas.openxmlformats.org/officeDocument/2006/relationships" r:id="rId2"/>
            <a:extLst>
              <a:ext uri="{FF2B5EF4-FFF2-40B4-BE49-F238E27FC236}">
                <a16:creationId xmlns:a16="http://schemas.microsoft.com/office/drawing/2014/main" id="{51237F9C-0FE4-FE2A-B04E-B3020830727D}"/>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17" name="Graphic 10" descr="Home with solid fill">
            <a:hlinkClick xmlns:r="http://schemas.openxmlformats.org/officeDocument/2006/relationships" r:id="rId3"/>
            <a:extLst>
              <a:ext uri="{FF2B5EF4-FFF2-40B4-BE49-F238E27FC236}">
                <a16:creationId xmlns:a16="http://schemas.microsoft.com/office/drawing/2014/main" id="{F733B85B-4F35-399A-1F0A-85D9BD43697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18" name="Graphic 11" descr="User outline">
            <a:hlinkClick xmlns:r="http://schemas.openxmlformats.org/officeDocument/2006/relationships" r:id="rId6"/>
            <a:extLst>
              <a:ext uri="{FF2B5EF4-FFF2-40B4-BE49-F238E27FC236}">
                <a16:creationId xmlns:a16="http://schemas.microsoft.com/office/drawing/2014/main" id="{ECCC2640-01B7-D919-F91D-C76CE387CC6A}"/>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349251</xdr:colOff>
      <xdr:row>15</xdr:row>
      <xdr:rowOff>29937</xdr:rowOff>
    </xdr:from>
    <xdr:to>
      <xdr:col>6</xdr:col>
      <xdr:colOff>239059</xdr:colOff>
      <xdr:row>42</xdr:row>
      <xdr:rowOff>164353</xdr:rowOff>
    </xdr:to>
    <xdr:graphicFrame macro="">
      <xdr:nvGraphicFramePr>
        <xdr:cNvPr id="4" name="Diagram 3">
          <a:extLst>
            <a:ext uri="{FF2B5EF4-FFF2-40B4-BE49-F238E27FC236}">
              <a16:creationId xmlns:a16="http://schemas.microsoft.com/office/drawing/2014/main" id="{C57829C5-55B0-4A29-8BED-F24CE2347335}"/>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xdr:col>
      <xdr:colOff>403410</xdr:colOff>
      <xdr:row>75</xdr:row>
      <xdr:rowOff>186764</xdr:rowOff>
    </xdr:from>
    <xdr:to>
      <xdr:col>7</xdr:col>
      <xdr:colOff>1837763</xdr:colOff>
      <xdr:row>114</xdr:row>
      <xdr:rowOff>179294</xdr:rowOff>
    </xdr:to>
    <xdr:graphicFrame macro="">
      <xdr:nvGraphicFramePr>
        <xdr:cNvPr id="5" name="Diagram 4">
          <a:extLst>
            <a:ext uri="{FF2B5EF4-FFF2-40B4-BE49-F238E27FC236}">
              <a16:creationId xmlns:a16="http://schemas.microsoft.com/office/drawing/2014/main" id="{EFB6AC8D-3C45-4726-8A5A-14CFF270432A}"/>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6" r:lo="rId7" r:qs="rId8" r:cs="rId9"/>
        </a:graphicData>
      </a:graphic>
    </xdr:graphicFrame>
    <xdr:clientData/>
  </xdr:twoCellAnchor>
  <xdr:twoCellAnchor>
    <xdr:from>
      <xdr:col>2</xdr:col>
      <xdr:colOff>50428</xdr:colOff>
      <xdr:row>46</xdr:row>
      <xdr:rowOff>134524</xdr:rowOff>
    </xdr:from>
    <xdr:to>
      <xdr:col>4</xdr:col>
      <xdr:colOff>366059</xdr:colOff>
      <xdr:row>72</xdr:row>
      <xdr:rowOff>52294</xdr:rowOff>
    </xdr:to>
    <xdr:graphicFrame macro="">
      <xdr:nvGraphicFramePr>
        <xdr:cNvPr id="9" name="Diagram 8">
          <a:extLst>
            <a:ext uri="{FF2B5EF4-FFF2-40B4-BE49-F238E27FC236}">
              <a16:creationId xmlns:a16="http://schemas.microsoft.com/office/drawing/2014/main" id="{692C3B42-1006-463B-8293-05C0E08C8609}"/>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1" r:lo="rId12" r:qs="rId13" r:cs="rId14"/>
        </a:graphicData>
      </a:graphic>
    </xdr:graphicFrame>
    <xdr:clientData/>
  </xdr:twoCellAnchor>
  <xdr:twoCellAnchor>
    <xdr:from>
      <xdr:col>2</xdr:col>
      <xdr:colOff>1</xdr:colOff>
      <xdr:row>119</xdr:row>
      <xdr:rowOff>0</xdr:rowOff>
    </xdr:from>
    <xdr:to>
      <xdr:col>4</xdr:col>
      <xdr:colOff>1524000</xdr:colOff>
      <xdr:row>149</xdr:row>
      <xdr:rowOff>52295</xdr:rowOff>
    </xdr:to>
    <xdr:graphicFrame macro="">
      <xdr:nvGraphicFramePr>
        <xdr:cNvPr id="10" name="Diagram 9">
          <a:extLst>
            <a:ext uri="{FF2B5EF4-FFF2-40B4-BE49-F238E27FC236}">
              <a16:creationId xmlns:a16="http://schemas.microsoft.com/office/drawing/2014/main" id="{90328D25-27FF-4FF8-A2F7-76C3EB79DAD5}"/>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6" r:lo="rId17" r:qs="rId18" r:cs="rId19"/>
        </a:graphicData>
      </a:graphic>
    </xdr:graphicFrame>
    <xdr:clientData/>
  </xdr:twoCellAnchor>
  <xdr:twoCellAnchor>
    <xdr:from>
      <xdr:col>2</xdr:col>
      <xdr:colOff>0</xdr:colOff>
      <xdr:row>153</xdr:row>
      <xdr:rowOff>0</xdr:rowOff>
    </xdr:from>
    <xdr:to>
      <xdr:col>4</xdr:col>
      <xdr:colOff>381000</xdr:colOff>
      <xdr:row>173</xdr:row>
      <xdr:rowOff>171824</xdr:rowOff>
    </xdr:to>
    <xdr:graphicFrame macro="">
      <xdr:nvGraphicFramePr>
        <xdr:cNvPr id="11" name="Diagram 10">
          <a:extLst>
            <a:ext uri="{FF2B5EF4-FFF2-40B4-BE49-F238E27FC236}">
              <a16:creationId xmlns:a16="http://schemas.microsoft.com/office/drawing/2014/main" id="{D164E537-636F-4CFA-922E-D87B154883F4}"/>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21" r:lo="rId22" r:qs="rId23" r:cs="rId24"/>
        </a:graphicData>
      </a:graphic>
    </xdr:graphicFrame>
    <xdr:clientData/>
  </xdr:twoCellAnchor>
  <xdr:twoCellAnchor>
    <xdr:from>
      <xdr:col>2</xdr:col>
      <xdr:colOff>0</xdr:colOff>
      <xdr:row>177</xdr:row>
      <xdr:rowOff>186764</xdr:rowOff>
    </xdr:from>
    <xdr:to>
      <xdr:col>4</xdr:col>
      <xdr:colOff>343648</xdr:colOff>
      <xdr:row>202</xdr:row>
      <xdr:rowOff>22411</xdr:rowOff>
    </xdr:to>
    <xdr:graphicFrame macro="">
      <xdr:nvGraphicFramePr>
        <xdr:cNvPr id="12" name="Diagram 11">
          <a:extLst>
            <a:ext uri="{FF2B5EF4-FFF2-40B4-BE49-F238E27FC236}">
              <a16:creationId xmlns:a16="http://schemas.microsoft.com/office/drawing/2014/main" id="{EA7B0BFF-CD74-472A-B4E5-934FF744367D}"/>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26" r:lo="rId27" r:qs="rId28" r:cs="rId29"/>
        </a:graphicData>
      </a:graphic>
    </xdr:graphicFrame>
    <xdr:clientData/>
  </xdr:twoCellAnchor>
  <xdr:twoCellAnchor>
    <xdr:from>
      <xdr:col>1</xdr:col>
      <xdr:colOff>343646</xdr:colOff>
      <xdr:row>207</xdr:row>
      <xdr:rowOff>44824</xdr:rowOff>
    </xdr:from>
    <xdr:to>
      <xdr:col>4</xdr:col>
      <xdr:colOff>724647</xdr:colOff>
      <xdr:row>232</xdr:row>
      <xdr:rowOff>14943</xdr:rowOff>
    </xdr:to>
    <xdr:graphicFrame macro="">
      <xdr:nvGraphicFramePr>
        <xdr:cNvPr id="13" name="Diagram 12">
          <a:extLst>
            <a:ext uri="{FF2B5EF4-FFF2-40B4-BE49-F238E27FC236}">
              <a16:creationId xmlns:a16="http://schemas.microsoft.com/office/drawing/2014/main" id="{9B97DD30-ECFD-41A2-8CEC-B3E6E540853B}"/>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31" r:lo="rId32" r:qs="rId33" r:cs="rId34"/>
        </a:graphicData>
      </a:graphic>
    </xdr:graphicFrame>
    <xdr:clientData/>
  </xdr:twoCellAnchor>
  <xdr:twoCellAnchor>
    <xdr:from>
      <xdr:col>1</xdr:col>
      <xdr:colOff>216558</xdr:colOff>
      <xdr:row>12</xdr:row>
      <xdr:rowOff>46112</xdr:rowOff>
    </xdr:from>
    <xdr:to>
      <xdr:col>1</xdr:col>
      <xdr:colOff>396558</xdr:colOff>
      <xdr:row>12</xdr:row>
      <xdr:rowOff>195295</xdr:rowOff>
    </xdr:to>
    <xdr:pic>
      <xdr:nvPicPr>
        <xdr:cNvPr id="14" name="Graphic 13" descr="Collision outline">
          <a:extLst>
            <a:ext uri="{FF2B5EF4-FFF2-40B4-BE49-F238E27FC236}">
              <a16:creationId xmlns:a16="http://schemas.microsoft.com/office/drawing/2014/main" id="{D7349703-732E-41A1-B3CC-C24FDC3CF9A5}"/>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 uri="{96DAC541-7B7A-43D3-8B79-37D633B846F1}">
              <asvg:svgBlip xmlns:asvg="http://schemas.microsoft.com/office/drawing/2016/SVG/main" r:embed="rId37"/>
            </a:ext>
          </a:extLst>
        </a:blip>
        <a:stretch>
          <a:fillRect/>
        </a:stretch>
      </xdr:blipFill>
      <xdr:spPr>
        <a:xfrm>
          <a:off x="622958" y="2332112"/>
          <a:ext cx="180000" cy="149183"/>
        </a:xfrm>
        <a:prstGeom prst="rect">
          <a:avLst/>
        </a:prstGeom>
      </xdr:spPr>
    </xdr:pic>
    <xdr:clientData/>
  </xdr:twoCellAnchor>
  <xdr:twoCellAnchor>
    <xdr:from>
      <xdr:col>1</xdr:col>
      <xdr:colOff>216558</xdr:colOff>
      <xdr:row>45</xdr:row>
      <xdr:rowOff>41733</xdr:rowOff>
    </xdr:from>
    <xdr:to>
      <xdr:col>1</xdr:col>
      <xdr:colOff>396558</xdr:colOff>
      <xdr:row>45</xdr:row>
      <xdr:rowOff>190916</xdr:rowOff>
    </xdr:to>
    <xdr:pic>
      <xdr:nvPicPr>
        <xdr:cNvPr id="15" name="Graphic 14" descr="Collision outline">
          <a:extLst>
            <a:ext uri="{FF2B5EF4-FFF2-40B4-BE49-F238E27FC236}">
              <a16:creationId xmlns:a16="http://schemas.microsoft.com/office/drawing/2014/main" id="{E8291105-D1C2-41F5-9D47-87DE0A1B2C6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 uri="{96DAC541-7B7A-43D3-8B79-37D633B846F1}">
              <asvg:svgBlip xmlns:asvg="http://schemas.microsoft.com/office/drawing/2016/SVG/main" r:embed="rId37"/>
            </a:ext>
          </a:extLst>
        </a:blip>
        <a:stretch>
          <a:fillRect/>
        </a:stretch>
      </xdr:blipFill>
      <xdr:spPr>
        <a:xfrm>
          <a:off x="622958" y="2778583"/>
          <a:ext cx="180000" cy="149183"/>
        </a:xfrm>
        <a:prstGeom prst="rect">
          <a:avLst/>
        </a:prstGeom>
      </xdr:spPr>
    </xdr:pic>
    <xdr:clientData/>
  </xdr:twoCellAnchor>
  <xdr:twoCellAnchor>
    <xdr:from>
      <xdr:col>1</xdr:col>
      <xdr:colOff>216558</xdr:colOff>
      <xdr:row>74</xdr:row>
      <xdr:rowOff>76767</xdr:rowOff>
    </xdr:from>
    <xdr:to>
      <xdr:col>1</xdr:col>
      <xdr:colOff>396558</xdr:colOff>
      <xdr:row>74</xdr:row>
      <xdr:rowOff>225950</xdr:rowOff>
    </xdr:to>
    <xdr:pic>
      <xdr:nvPicPr>
        <xdr:cNvPr id="16" name="Graphic 15" descr="Collision outline">
          <a:extLst>
            <a:ext uri="{FF2B5EF4-FFF2-40B4-BE49-F238E27FC236}">
              <a16:creationId xmlns:a16="http://schemas.microsoft.com/office/drawing/2014/main" id="{23F17969-D17B-44E5-A2D8-E40BBC45FAE7}"/>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 uri="{96DAC541-7B7A-43D3-8B79-37D633B846F1}">
              <asvg:svgBlip xmlns:asvg="http://schemas.microsoft.com/office/drawing/2016/SVG/main" r:embed="rId37"/>
            </a:ext>
          </a:extLst>
        </a:blip>
        <a:stretch>
          <a:fillRect/>
        </a:stretch>
      </xdr:blipFill>
      <xdr:spPr>
        <a:xfrm>
          <a:off x="622958" y="3264467"/>
          <a:ext cx="180000" cy="149183"/>
        </a:xfrm>
        <a:prstGeom prst="rect">
          <a:avLst/>
        </a:prstGeom>
      </xdr:spPr>
    </xdr:pic>
    <xdr:clientData/>
  </xdr:twoCellAnchor>
  <xdr:twoCellAnchor>
    <xdr:from>
      <xdr:col>1</xdr:col>
      <xdr:colOff>216558</xdr:colOff>
      <xdr:row>117</xdr:row>
      <xdr:rowOff>15456</xdr:rowOff>
    </xdr:from>
    <xdr:to>
      <xdr:col>1</xdr:col>
      <xdr:colOff>396558</xdr:colOff>
      <xdr:row>117</xdr:row>
      <xdr:rowOff>164639</xdr:rowOff>
    </xdr:to>
    <xdr:pic>
      <xdr:nvPicPr>
        <xdr:cNvPr id="17" name="Graphic 16" descr="Collision outline">
          <a:extLst>
            <a:ext uri="{FF2B5EF4-FFF2-40B4-BE49-F238E27FC236}">
              <a16:creationId xmlns:a16="http://schemas.microsoft.com/office/drawing/2014/main" id="{0596E835-31B9-4C54-BFD9-9E80F428C194}"/>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 uri="{96DAC541-7B7A-43D3-8B79-37D633B846F1}">
              <asvg:svgBlip xmlns:asvg="http://schemas.microsoft.com/office/drawing/2016/SVG/main" r:embed="rId37"/>
            </a:ext>
          </a:extLst>
        </a:blip>
        <a:stretch>
          <a:fillRect/>
        </a:stretch>
      </xdr:blipFill>
      <xdr:spPr>
        <a:xfrm>
          <a:off x="622958" y="3654006"/>
          <a:ext cx="180000" cy="149183"/>
        </a:xfrm>
        <a:prstGeom prst="rect">
          <a:avLst/>
        </a:prstGeom>
      </xdr:spPr>
    </xdr:pic>
    <xdr:clientData/>
  </xdr:twoCellAnchor>
  <xdr:twoCellAnchor>
    <xdr:from>
      <xdr:col>1</xdr:col>
      <xdr:colOff>216558</xdr:colOff>
      <xdr:row>151</xdr:row>
      <xdr:rowOff>28594</xdr:rowOff>
    </xdr:from>
    <xdr:to>
      <xdr:col>1</xdr:col>
      <xdr:colOff>396558</xdr:colOff>
      <xdr:row>151</xdr:row>
      <xdr:rowOff>177777</xdr:rowOff>
    </xdr:to>
    <xdr:pic>
      <xdr:nvPicPr>
        <xdr:cNvPr id="18" name="Graphic 17" descr="Collision outline">
          <a:extLst>
            <a:ext uri="{FF2B5EF4-FFF2-40B4-BE49-F238E27FC236}">
              <a16:creationId xmlns:a16="http://schemas.microsoft.com/office/drawing/2014/main" id="{1BA78530-B62D-4E86-BAC9-8FFF5D599B95}"/>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 uri="{96DAC541-7B7A-43D3-8B79-37D633B846F1}">
              <asvg:svgBlip xmlns:asvg="http://schemas.microsoft.com/office/drawing/2016/SVG/main" r:embed="rId37"/>
            </a:ext>
          </a:extLst>
        </a:blip>
        <a:stretch>
          <a:fillRect/>
        </a:stretch>
      </xdr:blipFill>
      <xdr:spPr>
        <a:xfrm>
          <a:off x="622958" y="4086244"/>
          <a:ext cx="180000" cy="149183"/>
        </a:xfrm>
        <a:prstGeom prst="rect">
          <a:avLst/>
        </a:prstGeom>
      </xdr:spPr>
    </xdr:pic>
    <xdr:clientData/>
  </xdr:twoCellAnchor>
  <xdr:twoCellAnchor>
    <xdr:from>
      <xdr:col>1</xdr:col>
      <xdr:colOff>216558</xdr:colOff>
      <xdr:row>176</xdr:row>
      <xdr:rowOff>46112</xdr:rowOff>
    </xdr:from>
    <xdr:to>
      <xdr:col>1</xdr:col>
      <xdr:colOff>396558</xdr:colOff>
      <xdr:row>176</xdr:row>
      <xdr:rowOff>195295</xdr:rowOff>
    </xdr:to>
    <xdr:pic>
      <xdr:nvPicPr>
        <xdr:cNvPr id="19" name="Graphic 18" descr="Collision outline">
          <a:extLst>
            <a:ext uri="{FF2B5EF4-FFF2-40B4-BE49-F238E27FC236}">
              <a16:creationId xmlns:a16="http://schemas.microsoft.com/office/drawing/2014/main" id="{F4240F60-2E98-4BA6-8E7E-3EDE5991B37C}"/>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 uri="{96DAC541-7B7A-43D3-8B79-37D633B846F1}">
              <asvg:svgBlip xmlns:asvg="http://schemas.microsoft.com/office/drawing/2016/SVG/main" r:embed="rId37"/>
            </a:ext>
          </a:extLst>
        </a:blip>
        <a:stretch>
          <a:fillRect/>
        </a:stretch>
      </xdr:blipFill>
      <xdr:spPr>
        <a:xfrm>
          <a:off x="622958" y="4522862"/>
          <a:ext cx="180000" cy="149183"/>
        </a:xfrm>
        <a:prstGeom prst="rect">
          <a:avLst/>
        </a:prstGeom>
      </xdr:spPr>
    </xdr:pic>
    <xdr:clientData/>
  </xdr:twoCellAnchor>
  <xdr:twoCellAnchor>
    <xdr:from>
      <xdr:col>1</xdr:col>
      <xdr:colOff>216558</xdr:colOff>
      <xdr:row>205</xdr:row>
      <xdr:rowOff>15456</xdr:rowOff>
    </xdr:from>
    <xdr:to>
      <xdr:col>1</xdr:col>
      <xdr:colOff>396558</xdr:colOff>
      <xdr:row>205</xdr:row>
      <xdr:rowOff>164639</xdr:rowOff>
    </xdr:to>
    <xdr:pic>
      <xdr:nvPicPr>
        <xdr:cNvPr id="20" name="Graphic 19" descr="Collision outline">
          <a:extLst>
            <a:ext uri="{FF2B5EF4-FFF2-40B4-BE49-F238E27FC236}">
              <a16:creationId xmlns:a16="http://schemas.microsoft.com/office/drawing/2014/main" id="{3FDFBB9C-F90A-4D1B-86AF-3ACDFEDB4EFF}"/>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 uri="{96DAC541-7B7A-43D3-8B79-37D633B846F1}">
              <asvg:svgBlip xmlns:asvg="http://schemas.microsoft.com/office/drawing/2016/SVG/main" r:embed="rId37"/>
            </a:ext>
          </a:extLst>
        </a:blip>
        <a:stretch>
          <a:fillRect/>
        </a:stretch>
      </xdr:blipFill>
      <xdr:spPr>
        <a:xfrm>
          <a:off x="622958" y="4943056"/>
          <a:ext cx="180000" cy="149183"/>
        </a:xfrm>
        <a:prstGeom prst="rect">
          <a:avLst/>
        </a:prstGeom>
      </xdr:spPr>
    </xdr:pic>
    <xdr:clientData/>
  </xdr:twoCellAnchor>
  <xdr:twoCellAnchor>
    <xdr:from>
      <xdr:col>0</xdr:col>
      <xdr:colOff>59764</xdr:colOff>
      <xdr:row>0</xdr:row>
      <xdr:rowOff>59764</xdr:rowOff>
    </xdr:from>
    <xdr:to>
      <xdr:col>1</xdr:col>
      <xdr:colOff>303015</xdr:colOff>
      <xdr:row>3</xdr:row>
      <xdr:rowOff>73767</xdr:rowOff>
    </xdr:to>
    <xdr:grpSp>
      <xdr:nvGrpSpPr>
        <xdr:cNvPr id="26" name="Group 2">
          <a:extLst>
            <a:ext uri="{FF2B5EF4-FFF2-40B4-BE49-F238E27FC236}">
              <a16:creationId xmlns:a16="http://schemas.microsoft.com/office/drawing/2014/main" id="{D5C5F2C5-B227-4EE7-862E-F798C10DE2FD}"/>
            </a:ext>
          </a:extLst>
        </xdr:cNvPr>
        <xdr:cNvGrpSpPr/>
      </xdr:nvGrpSpPr>
      <xdr:grpSpPr>
        <a:xfrm>
          <a:off x="59764" y="59764"/>
          <a:ext cx="633776" cy="642653"/>
          <a:chOff x="8756769" y="4362234"/>
          <a:chExt cx="648000" cy="651646"/>
        </a:xfrm>
      </xdr:grpSpPr>
      <xdr:sp macro="" textlink="">
        <xdr:nvSpPr>
          <xdr:cNvPr id="27" name="Rectangle 20">
            <a:extLst>
              <a:ext uri="{FF2B5EF4-FFF2-40B4-BE49-F238E27FC236}">
                <a16:creationId xmlns:a16="http://schemas.microsoft.com/office/drawing/2014/main" id="{A2B124C0-13EC-57E6-4313-8B5B79569F67}"/>
              </a:ext>
            </a:extLst>
          </xdr:cNvPr>
          <xdr:cNvSpPr/>
        </xdr:nvSpPr>
        <xdr:spPr>
          <a:xfrm>
            <a:off x="8756769" y="4362234"/>
            <a:ext cx="648000" cy="651646"/>
          </a:xfrm>
          <a:prstGeom prst="rect">
            <a:avLst/>
          </a:prstGeom>
          <a:noFill/>
          <a:ln w="31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28" name="Oval 21">
            <a:hlinkClick xmlns:r="http://schemas.openxmlformats.org/officeDocument/2006/relationships" r:id="rId38"/>
            <a:extLst>
              <a:ext uri="{FF2B5EF4-FFF2-40B4-BE49-F238E27FC236}">
                <a16:creationId xmlns:a16="http://schemas.microsoft.com/office/drawing/2014/main" id="{D62AABD8-C14A-4CF3-BD93-5E74F2421A1B}"/>
              </a:ext>
            </a:extLst>
          </xdr:cNvPr>
          <xdr:cNvSpPr/>
        </xdr:nvSpPr>
        <xdr:spPr>
          <a:xfrm>
            <a:off x="9125043" y="4736774"/>
            <a:ext cx="216000" cy="218165"/>
          </a:xfrm>
          <a:prstGeom prst="ellipse">
            <a:avLst/>
          </a:prstGeom>
          <a:noFill/>
          <a:ln>
            <a:solidFill>
              <a:srgbClr val="FFB900"/>
            </a:solidFill>
          </a:ln>
          <a:effectLst>
            <a:glow rad="50800">
              <a:srgbClr val="FFB900">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FFB900"/>
                </a:solidFill>
              </a:rPr>
              <a:t>b</a:t>
            </a:r>
          </a:p>
        </xdr:txBody>
      </xdr:sp>
      <xdr:sp macro="" textlink="">
        <xdr:nvSpPr>
          <xdr:cNvPr id="29" name="Oval 22">
            <a:hlinkClick xmlns:r="http://schemas.openxmlformats.org/officeDocument/2006/relationships" r:id="rId39"/>
            <a:extLst>
              <a:ext uri="{FF2B5EF4-FFF2-40B4-BE49-F238E27FC236}">
                <a16:creationId xmlns:a16="http://schemas.microsoft.com/office/drawing/2014/main" id="{DA19D22D-E9D5-B36A-6D9D-EBA6593AC0D8}"/>
              </a:ext>
            </a:extLst>
          </xdr:cNvPr>
          <xdr:cNvSpPr/>
        </xdr:nvSpPr>
        <xdr:spPr>
          <a:xfrm>
            <a:off x="8829581" y="4736774"/>
            <a:ext cx="216000" cy="218165"/>
          </a:xfrm>
          <a:prstGeom prst="ellipse">
            <a:avLst/>
          </a:prstGeom>
          <a:noFill/>
          <a:ln>
            <a:solidFill>
              <a:srgbClr val="00A4EF"/>
            </a:solidFill>
          </a:ln>
          <a:effectLst>
            <a:glow rad="50800">
              <a:srgbClr val="00A4EF">
                <a:alpha val="60000"/>
              </a:srgb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AU" sz="1200">
                <a:solidFill>
                  <a:srgbClr val="00A4EF"/>
                </a:solidFill>
              </a:rPr>
              <a:t>g</a:t>
            </a:r>
          </a:p>
        </xdr:txBody>
      </xdr:sp>
      <xdr:pic>
        <xdr:nvPicPr>
          <xdr:cNvPr id="30" name="Graphic 23" descr="Home with solid fill">
            <a:hlinkClick xmlns:r="http://schemas.openxmlformats.org/officeDocument/2006/relationships" r:id="rId40"/>
            <a:extLst>
              <a:ext uri="{FF2B5EF4-FFF2-40B4-BE49-F238E27FC236}">
                <a16:creationId xmlns:a16="http://schemas.microsoft.com/office/drawing/2014/main" id="{DE8833E3-0BB5-1426-ABE6-F9CA92058472}"/>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 uri="{96DAC541-7B7A-43D3-8B79-37D633B846F1}">
                <asvg:svgBlip xmlns:asvg="http://schemas.microsoft.com/office/drawing/2016/SVG/main" r:embed="rId42"/>
              </a:ext>
            </a:extLst>
          </a:blip>
          <a:stretch>
            <a:fillRect/>
          </a:stretch>
        </xdr:blipFill>
        <xdr:spPr>
          <a:xfrm>
            <a:off x="8804636" y="4391725"/>
            <a:ext cx="265890" cy="265676"/>
          </a:xfrm>
          <a:prstGeom prst="rect">
            <a:avLst/>
          </a:prstGeom>
          <a:effectLst>
            <a:glow rad="63500">
              <a:srgbClr val="F25022">
                <a:alpha val="40000"/>
              </a:srgbClr>
            </a:glow>
          </a:effectLst>
        </xdr:spPr>
      </xdr:pic>
      <xdr:pic>
        <xdr:nvPicPr>
          <xdr:cNvPr id="31" name="Graphic 24" descr="User outline">
            <a:hlinkClick xmlns:r="http://schemas.openxmlformats.org/officeDocument/2006/relationships" r:id="rId43"/>
            <a:extLst>
              <a:ext uri="{FF2B5EF4-FFF2-40B4-BE49-F238E27FC236}">
                <a16:creationId xmlns:a16="http://schemas.microsoft.com/office/drawing/2014/main" id="{AB0696D0-6C8B-82C3-96E3-6F3625960E5C}"/>
              </a:ext>
            </a:extLst>
          </xdr:cNvPr>
          <xdr:cNvPicPr>
            <a:picLocks/>
          </xdr:cNvPicPr>
        </xdr:nvPicPr>
        <xdr:blipFill>
          <a:blip xmlns:r="http://schemas.openxmlformats.org/officeDocument/2006/relationships" r:embed="rId44" cstate="print">
            <a:extLst>
              <a:ext uri="{28A0092B-C50C-407E-A947-70E740481C1C}">
                <a14:useLocalDpi xmlns:a14="http://schemas.microsoft.com/office/drawing/2010/main" val="0"/>
              </a:ext>
              <a:ext uri="{96DAC541-7B7A-43D3-8B79-37D633B846F1}">
                <asvg:svgBlip xmlns:asvg="http://schemas.microsoft.com/office/drawing/2016/SVG/main" r:embed="rId45"/>
              </a:ext>
            </a:extLst>
          </a:blip>
          <a:stretch>
            <a:fillRect/>
          </a:stretch>
        </xdr:blipFill>
        <xdr:spPr>
          <a:xfrm>
            <a:off x="9119738" y="4429921"/>
            <a:ext cx="226611" cy="189285"/>
          </a:xfrm>
          <a:prstGeom prst="rect">
            <a:avLst/>
          </a:prstGeom>
          <a:effectLst>
            <a:glow rad="101600">
              <a:srgbClr val="7FBA00">
                <a:alpha val="60000"/>
              </a:srgbClr>
            </a:glow>
          </a:effectLst>
        </xdr:spPr>
      </xdr:pic>
    </xdr:grpSp>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pic1" xr10:uid="{38B0BAE1-DE02-4B68-9CC4-F6460BD4D471}" sourceName="Category">
  <extLst>
    <x:ext xmlns:x15="http://schemas.microsoft.com/office/spreadsheetml/2010/11/main" uri="{2F2917AC-EB37-4324-AD4E-5DD8C200BD13}">
      <x15:tableSlicerCache tableId="23" column="10"/>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A56A311B-B90F-4EC7-B0F3-9F4787E9F8A6}" sourceName="Name">
  <extLst>
    <x:ext xmlns:x15="http://schemas.microsoft.com/office/spreadsheetml/2010/11/main" uri="{2F2917AC-EB37-4324-AD4E-5DD8C200BD13}">
      <x15:tableSlicerCache tableId="40" column="2"/>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e1" xr10:uid="{144B2B51-9CFC-4A61-91BE-BF0F6A1CBFDA}" sourceName="Role">
  <extLst>
    <x:ext xmlns:x15="http://schemas.microsoft.com/office/spreadsheetml/2010/11/main" uri="{2F2917AC-EB37-4324-AD4E-5DD8C200BD13}">
      <x15:tableSlicerCache tableId="40" column="14"/>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1" xr10:uid="{3B005153-6986-4763-8CD5-12BAAB57A3B6}" sourceName="Department">
  <extLst>
    <x:ext xmlns:x15="http://schemas.microsoft.com/office/spreadsheetml/2010/11/main" uri="{2F2917AC-EB37-4324-AD4E-5DD8C200BD13}">
      <x15:tableSlicerCache tableId="40" column="15"/>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pplication" xr10:uid="{10AB4C10-9258-42BE-957C-4115D01EBB6F}" sourceName="Application">
  <extLst>
    <x:ext xmlns:x15="http://schemas.microsoft.com/office/spreadsheetml/2010/11/main" uri="{2F2917AC-EB37-4324-AD4E-5DD8C200BD13}">
      <x15:tableSlicerCache tableId="40" column="3"/>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pic11" xr10:uid="{A73BD251-E097-4DC6-8B3C-628AF8D67767}" sourceName="Category">
  <extLst>
    <x:ext xmlns:x15="http://schemas.microsoft.com/office/spreadsheetml/2010/11/main" uri="{2F2917AC-EB37-4324-AD4E-5DD8C200BD13}">
      <x15:tableSlicerCache tableId="66" column="10"/>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pic12" xr10:uid="{27717982-162C-4871-AB4D-D60A342B5A58}" sourceName="Category">
  <extLst>
    <x:ext xmlns:x15="http://schemas.microsoft.com/office/spreadsheetml/2010/11/main" uri="{2F2917AC-EB37-4324-AD4E-5DD8C200BD13}">
      <x15:tableSlicerCache tableId="47" column="10"/>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opic 1" xr10:uid="{26D16916-93D3-4174-8C02-04161B3A2114}" cache="Slicer_Topic1" caption="Category" columnCount="9" style="BFG Slicer" rowHeight="504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opic 2" xr10:uid="{78FD5308-146D-486B-B20E-0F85FE12F797}" cache="Slicer_Topic11" caption="Category" columnCount="9" style="BFG Slicer" rowHeight="5040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1" xr10:uid="{D36FEBBF-9D54-4ACD-8E2B-521B44DE6955}" cache="Slicer_Name1" caption="Name" style="BFG Slicer" rowHeight="234950"/>
  <slicer name="Role 1" xr10:uid="{C408F35A-DB05-4805-9CC3-FADAB0ECEDC0}" cache="Slicer_Role1" caption="Role" style="BFG Slicer" rowHeight="234950"/>
  <slicer name="Department 1" xr10:uid="{262D1B4C-C3F8-45AF-8E94-05317C11E99B}" cache="Slicer_Department1" caption="Department" style="BFG Slicer" rowHeight="234950"/>
  <slicer name="Application" xr10:uid="{0513DACA-4A5B-4A63-8B72-25650E9ACBE7}" cache="Slicer_Application" caption="Application" style="BFG Slicer"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opic 3" xr10:uid="{52130D57-D9B3-4F6B-9913-46EF7D41B7A3}" cache="Slicer_Topic12" caption="Category" columnCount="9" style="BFG Slicer" rowHeight="504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03A7975C-33B4-4D48-83FF-088BB66233BC}" name="Table3316" displayName="Table3316" ref="B23:E29" totalsRowShown="0" headerRowDxfId="2038" dataDxfId="2037">
  <autoFilter ref="B23:E29" xr:uid="{03A7975C-33B4-4D48-83FF-088BB66233BC}"/>
  <tableColumns count="4">
    <tableColumn id="1" xr3:uid="{110B5ABD-9271-449F-88EE-DD719D0C2971}" name="Version" dataDxfId="2036"/>
    <tableColumn id="5" xr3:uid="{00C9B3A5-0D27-44A2-874F-DA04EB746D94}" name="Date" dataDxfId="2035"/>
    <tableColumn id="2" xr3:uid="{7DA4658E-7922-464A-9D5E-301320905C5A}" name="Release description" dataDxfId="2034"/>
    <tableColumn id="3" xr3:uid="{CB628B45-ADB2-4C71-BDCC-79258AA58EB7}" name="Update description" dataDxfId="2033"/>
  </tableColumns>
  <tableStyleInfo name="TableStyleLight4"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4495E2C7-1992-4681-A6F9-94637E60D939}" name="Table7" displayName="Table7" ref="D160:D168" totalsRowShown="0" headerRowDxfId="1820" dataDxfId="1819">
  <autoFilter ref="D160:D168" xr:uid="{4495E2C7-1992-4681-A6F9-94637E60D939}"/>
  <sortState xmlns:xlrd2="http://schemas.microsoft.com/office/spreadsheetml/2017/richdata2" ref="D161:D168">
    <sortCondition ref="D160:D168"/>
  </sortState>
  <tableColumns count="1">
    <tableColumn id="1" xr3:uid="{6C453318-0CCF-4896-B880-8D044020F5DA}" name="Software Bill of Materials" dataDxfId="1818"/>
  </tableColumns>
  <tableStyleInfo name="TableStyleLight1" showFirstColumn="0" showLastColumn="0" showRowStripes="1" showColumnStripes="0"/>
</table>
</file>

<file path=xl/tables/table10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3" xr:uid="{3D304918-19D0-4DB7-B507-7A14033496B0}" name="AprAssignments" displayName="AprAssignments" ref="C46:E76" totalsRowShown="0" headerRowDxfId="285" dataDxfId="284" headerRowBorderDxfId="283" headerRowCellStyle="Time">
  <autoFilter ref="C46:E76" xr:uid="{3D304918-19D0-4DB7-B507-7A14033496B0}"/>
  <tableColumns count="3">
    <tableColumn id="1" xr3:uid="{EA381019-C452-4CBF-AC01-0B534BE8428C}" name="Day of the week" dataDxfId="282"/>
    <tableColumn id="2" xr3:uid="{15CE08C0-8A5D-4D07-A184-046DCBAB03FC}" name="Calendar day" dataDxfId="281" dataCellStyle="Date"/>
    <tableColumn id="3" xr3:uid="{B16DCE69-FDB4-453E-9DCA-0465586C5B6F}" name="Events" dataDxfId="280"/>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10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7" xr:uid="{8FDCD048-92DE-4413-A7E9-78A204036028}" name="MayAssignments" displayName="MayAssignments" ref="G46:I76" totalsRowShown="0" headerRowDxfId="279" dataDxfId="278" headerRowBorderDxfId="277">
  <autoFilter ref="G46:I76" xr:uid="{8FDCD048-92DE-4413-A7E9-78A204036028}"/>
  <tableColumns count="3">
    <tableColumn id="1" xr3:uid="{8DAA37EC-5570-4AE1-9D58-9981C3CA1AA7}" name="Day of the week" dataDxfId="276"/>
    <tableColumn id="2" xr3:uid="{7694875E-3FC0-408B-8D88-9535ECC3A59C}" name="Calendar day" dataDxfId="275" dataCellStyle="Date"/>
    <tableColumn id="3" xr3:uid="{03BEA158-7EB5-45B0-B3F9-71EC139A7194}" name="Events" dataDxfId="274"/>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10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8" xr:uid="{D36A64E6-9AF4-4717-AE94-752116CE72E9}" name="JunAssignments" displayName="JunAssignments" ref="K46:M76" totalsRowShown="0" headerRowDxfId="273" dataDxfId="272">
  <autoFilter ref="K46:M76" xr:uid="{D36A64E6-9AF4-4717-AE94-752116CE72E9}"/>
  <tableColumns count="3">
    <tableColumn id="1" xr3:uid="{D7D66DFC-E2E4-4D9D-A93D-20698C3975E2}" name="Day of the week" dataDxfId="271"/>
    <tableColumn id="2" xr3:uid="{E9CF1303-8B28-42B8-9742-B00CD6D72940}" name="Calendar day" dataDxfId="270" dataCellStyle="Date"/>
    <tableColumn id="3" xr3:uid="{CA8064BF-68D9-45A9-A6F4-D440675DFEFA}" name="Events" dataDxfId="269"/>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10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9" xr:uid="{C5213D08-8A80-4F89-8D82-980A8E41707B}" name="JulAssignments" displayName="JulAssignments" ref="C81:E111" totalsRowShown="0" headerRowDxfId="268" dataDxfId="267" headerRowBorderDxfId="266" headerRowCellStyle="Time">
  <autoFilter ref="C81:E111" xr:uid="{C5213D08-8A80-4F89-8D82-980A8E41707B}"/>
  <tableColumns count="3">
    <tableColumn id="1" xr3:uid="{768E9614-9269-4122-9D4E-84905D46B431}" name="Day of the week" dataDxfId="265"/>
    <tableColumn id="2" xr3:uid="{2EE43AB6-E9A5-45F6-A199-DA42298C18F4}" name="Calendar day" dataDxfId="264" dataCellStyle="Date"/>
    <tableColumn id="3" xr3:uid="{B1E4A74D-2F18-4DAF-9A3B-01A54012A8A7}" name="Events" dataDxfId="263"/>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10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0" xr:uid="{C0637117-E778-4ABB-9A86-E228D974D607}" name="AugAssignments" displayName="AugAssignments" ref="G81:I111" totalsRowShown="0" headerRowDxfId="262" dataDxfId="261" headerRowBorderDxfId="260">
  <autoFilter ref="G81:I111" xr:uid="{C0637117-E778-4ABB-9A86-E228D974D607}"/>
  <tableColumns count="3">
    <tableColumn id="1" xr3:uid="{6B589439-A357-4CCA-A134-3372528CF4A3}" name="Day of the week" dataDxfId="259"/>
    <tableColumn id="2" xr3:uid="{FBDA033A-B05D-4707-802D-87666021DA09}" name="Calendar day" dataDxfId="258" dataCellStyle="Date"/>
    <tableColumn id="3" xr3:uid="{6227E014-8816-4CEA-ABC7-1EEADA0A67C7}" name="Events" dataDxfId="257"/>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10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1" xr:uid="{F0B6B592-1524-4526-A7CA-D7DC1ED49EDA}" name="SepAssignments" displayName="SepAssignments" ref="K81:M111" totalsRowShown="0" headerRowDxfId="256" dataDxfId="255">
  <autoFilter ref="K81:M111" xr:uid="{F0B6B592-1524-4526-A7CA-D7DC1ED49EDA}"/>
  <tableColumns count="3">
    <tableColumn id="1" xr3:uid="{8223CECD-393A-40CB-A913-3F31655CB214}" name="Day of the week" dataDxfId="254"/>
    <tableColumn id="2" xr3:uid="{4F581477-1789-4984-B1F9-0679FB0EECB9}" name="Calendar day" dataDxfId="253" dataCellStyle="Date"/>
    <tableColumn id="3" xr3:uid="{50AE987D-F547-4EEA-ADFA-29A593679ED7}" name="Events" dataDxfId="252"/>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10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2" xr:uid="{5B44AE06-2FBB-443B-A1C6-567CAE9350E9}" name="OctAssignments" displayName="OctAssignments" ref="C116:E146" totalsRowShown="0" headerRowDxfId="251" dataDxfId="250" headerRowBorderDxfId="249" headerRowCellStyle="Time">
  <autoFilter ref="C116:E146" xr:uid="{5B44AE06-2FBB-443B-A1C6-567CAE9350E9}"/>
  <tableColumns count="3">
    <tableColumn id="1" xr3:uid="{A3213203-9CA5-47FD-8F8A-60D425A5AADA}" name="Day of the week" dataDxfId="248"/>
    <tableColumn id="2" xr3:uid="{B1BF1E3E-54C7-46CC-A44B-B515BB16C2AE}" name="Calendar day" dataDxfId="247" dataCellStyle="Date"/>
    <tableColumn id="3" xr3:uid="{5D18FFD5-5B8A-421F-A61A-5F19C5C5EBCE}" name="Events" dataDxfId="246"/>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10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6" xr:uid="{68AF5B1E-8444-4A14-B03C-3A2FC62C937E}" name="NovAssignments" displayName="NovAssignments" ref="G116:I146" totalsRowShown="0" headerRowDxfId="245" dataDxfId="244" headerRowBorderDxfId="243">
  <autoFilter ref="G116:I146" xr:uid="{68AF5B1E-8444-4A14-B03C-3A2FC62C937E}"/>
  <tableColumns count="3">
    <tableColumn id="1" xr3:uid="{0CCA379C-8CDA-4212-ADF8-5E8F31A982F7}" name="Day of the week" dataDxfId="242"/>
    <tableColumn id="2" xr3:uid="{693AF4DF-ED67-4FFD-A04A-8AAB25000388}" name="Calendar day" dataDxfId="241" dataCellStyle="Date"/>
    <tableColumn id="3" xr3:uid="{B34EB6B5-E333-4F65-B67E-412F9C3AB3F2}" name="Events" dataDxfId="240"/>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10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7" xr:uid="{F8527B54-309C-4971-8971-FF501658C496}" name="DecAssignments" displayName="DecAssignments" ref="K116:M146" totalsRowShown="0" headerRowDxfId="239" dataDxfId="238">
  <autoFilter ref="K116:M146" xr:uid="{F8527B54-309C-4971-8971-FF501658C496}"/>
  <tableColumns count="3">
    <tableColumn id="1" xr3:uid="{79C2A8A3-AF84-4A8E-8175-5329D0C69051}" name="Day of the week" dataDxfId="237"/>
    <tableColumn id="2" xr3:uid="{64319AE9-F556-41C3-AD70-E65334787AFF}" name="Calendar day" dataDxfId="236" dataCellStyle="Date"/>
    <tableColumn id="3" xr3:uid="{5A64998A-35DD-475F-A910-AF0DC08009EE}" name="Events" dataDxfId="235"/>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10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5170B5CC-F610-492F-9E7E-E016EEBD65AA}" name="Table38" displayName="Table38" ref="D15:P26" totalsRowShown="0" headerRowDxfId="224" dataDxfId="223">
  <autoFilter ref="D15:P26" xr:uid="{5170B5CC-F610-492F-9E7E-E016EEBD65AA}"/>
  <tableColumns count="13">
    <tableColumn id="5" xr3:uid="{FA4EE6F4-1D8C-49A9-A25E-349246ED18B7}" name="Application Name" dataDxfId="222"/>
    <tableColumn id="1" xr3:uid="{A74C2D12-E5E1-4AED-B16B-83ACD7DA90EC}" name="Business Function" dataDxfId="221"/>
    <tableColumn id="6" xr3:uid="{53797B23-BD5D-4A04-A79F-927CF5ACD1B5}" name="Organization" dataDxfId="220"/>
    <tableColumn id="7" xr3:uid="{DA030866-74CA-4291-9EF3-19CA5B5E00D9}" name="Business Unit" dataDxfId="219"/>
    <tableColumn id="2" xr3:uid="{4449CCBD-E434-4A22-9BEB-A4E8D111DC31}" name="Criticality" dataDxfId="218"/>
    <tableColumn id="14" xr3:uid="{29A0F75C-07C9-4A4D-8874-C807D9B33B61}" name="Criticality Window" dataDxfId="217"/>
    <tableColumn id="11" xr3:uid="{615FBA29-191C-4736-9585-36EA8A49738A}" name="Environment" dataDxfId="216"/>
    <tableColumn id="13" xr3:uid="{B7859C02-EDDE-4EDC-A63A-A9FC3F4F159E}" name="Region (Primary)" dataDxfId="215"/>
    <tableColumn id="12" xr3:uid="{E47203B5-D553-484A-BE2D-F4C6988E9A10}" name="Region (Secondary)" dataDxfId="214"/>
    <tableColumn id="8" xr3:uid="{409104F7-69E6-4D4E-B79D-D89294D02B30}" name="Region (Tertiary)" dataDxfId="213"/>
    <tableColumn id="3" xr3:uid="{9484604A-7744-4A41-92D4-074393B371E3}" name="Impact Description" dataDxfId="212"/>
    <tableColumn id="10" xr3:uid="{5A371E16-1000-430F-95E9-82933816ABD6}" name="Impact $ Estimate" dataDxfId="211"/>
    <tableColumn id="4" xr3:uid="{B61C3687-A492-4FA7-BA0E-273FCAB8F2A2}" name="Details" dataDxfId="210"/>
  </tableColumns>
  <tableStyleInfo name="TableStyleLight4"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D8DDCF3B-29F5-426E-AC5C-BBF8A5DAD1D2}" name="Table15" displayName="Table15" ref="D154:D156" totalsRowShown="0" headerRowDxfId="1817" dataDxfId="1816">
  <autoFilter ref="D154:D156" xr:uid="{D8DDCF3B-29F5-426E-AC5C-BBF8A5DAD1D2}"/>
  <tableColumns count="1">
    <tableColumn id="1" xr3:uid="{1A5FCB2C-A8E5-4650-85B6-6E8F6C770F4F}" name="Settings" dataDxfId="1815"/>
  </tableColumns>
  <tableStyleInfo name="TableStyleLight1" showFirstColumn="0" showLastColumn="0" showRowStripes="1" showColumnStripes="0"/>
</table>
</file>

<file path=xl/tables/table1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9" xr:uid="{1554C74E-1314-4978-B57B-BA3ACE255B5B}" name="Table31100" displayName="Table31100" ref="D21:K28" totalsRowShown="0" headerRowDxfId="89" dataDxfId="88">
  <autoFilter ref="D21:K28" xr:uid="{CFD24200-79DC-4C56-9269-E43520D6F1BE}"/>
  <tableColumns count="8">
    <tableColumn id="1" xr3:uid="{0D6B6692-E029-4609-8F31-B3C9825FE954}" name="Artefact (1)" dataDxfId="87"/>
    <tableColumn id="2" xr3:uid="{75268F06-CA00-4E37-B4A0-F1EB3C3540DE}" name="Description" dataDxfId="86"/>
    <tableColumn id="3" xr3:uid="{BD37F892-6E60-4063-AFF8-0A257BA093B7}" name="Frequency (2)" dataDxfId="85"/>
    <tableColumn id="4" xr3:uid="{476BC632-1E9B-4E94-938B-455B0E1881ED}" name="Owner (3)" dataDxfId="84"/>
    <tableColumn id="8" xr3:uid="{D3E779F6-6B2D-4C3C-8F58-115C883F9E40}" name="Approver (4)" dataDxfId="83"/>
    <tableColumn id="5" xr3:uid="{4474B8FB-6D16-4EBE-9887-D0A8719BB171}" name="Last Review" dataDxfId="82"/>
    <tableColumn id="9" xr3:uid="{13B34E02-BC2F-4C7E-9C59-FF2873B5CDAF}" name="Status" dataDxfId="81"/>
    <tableColumn id="6" xr3:uid="{DE589541-517E-41E8-BC68-EAFC21E3C0D4}" name="Next Review" dataDxfId="80">
      <calculatedColumnFormula>DATE(YEAR(I22),MONTH(I22)+6,DAY(I22))</calculatedColumnFormula>
    </tableColumn>
  </tableColumns>
  <tableStyleInfo name="TableStyleLight4" showFirstColumn="0" showLastColumn="0" showRowStripes="1" showColumnStripes="0"/>
</table>
</file>

<file path=xl/tables/table1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A7994F0-743A-4F91-A950-5460D5458965}" name="Table322" displayName="Table322" ref="C4:D69" totalsRowShown="0" headerRowDxfId="79" dataDxfId="78">
  <autoFilter ref="C4:D69" xr:uid="{9A7994F0-743A-4F91-A950-5460D5458965}"/>
  <tableColumns count="2">
    <tableColumn id="1" xr3:uid="{6FF53B37-AB2F-4892-8AA7-8932008D6B05}" name="Reference" dataDxfId="77"/>
    <tableColumn id="3" xr3:uid="{E11FFE67-8E0A-4AC9-9CB7-8CF20A4C215D}" name="Worksheet"/>
  </tableColumns>
  <tableStyleInfo name="TableStyleLight4" showFirstColumn="0" showLastColumn="0" showRowStripes="1" showColumnStripes="0"/>
</table>
</file>

<file path=xl/tables/table1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FE7FB4F5-954E-4149-A9D7-A0EF3C1C4200}" name="Table9" displayName="Table9" ref="C4:D6" totalsRowShown="0" headerRowDxfId="76" dataDxfId="75">
  <autoFilter ref="C4:D6" xr:uid="{FE7FB4F5-954E-4149-A9D7-A0EF3C1C4200}"/>
  <tableColumns count="2">
    <tableColumn id="1" xr3:uid="{BF42E220-095E-448D-9822-3A070AD53647}" name="High availability" dataDxfId="74"/>
    <tableColumn id="2" xr3:uid="{DA7E2068-8D54-4344-B26A-F53447506E08}" name="Description" dataDxfId="73"/>
  </tableColumns>
  <tableStyleInfo name="TableStyleLight4" showFirstColumn="0" showLastColumn="0" showRowStripes="1" showColumnStripes="0"/>
</table>
</file>

<file path=xl/tables/table1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575A8049-9C11-435F-9E98-43E4132491D8}" name="Table10" displayName="Table10" ref="F4:F6" totalsRowShown="0" headerRowDxfId="72" dataDxfId="71">
  <autoFilter ref="F4:F6" xr:uid="{575A8049-9C11-435F-9E98-43E4132491D8}"/>
  <tableColumns count="1">
    <tableColumn id="1" xr3:uid="{C0533EC0-ED20-43B3-A2EE-DD7E15816FFD}" name="Failover response" dataDxfId="70"/>
  </tableColumns>
  <tableStyleInfo name="TableStyleLight4" showFirstColumn="0" showLastColumn="0" showRowStripes="1" showColumnStripes="0"/>
</table>
</file>

<file path=xl/tables/table1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AEEB38D9-2133-4FF3-8846-97125FA2D702}" name="Table829" displayName="Table829" ref="L4:M14" totalsRowShown="0" headerRowDxfId="69" dataDxfId="68">
  <autoFilter ref="L4:M14" xr:uid="{AEEB38D9-2133-4FF3-8846-97125FA2D702}"/>
  <sortState xmlns:xlrd2="http://schemas.microsoft.com/office/spreadsheetml/2017/richdata2" ref="L5:M14">
    <sortCondition ref="L4:L14"/>
  </sortState>
  <tableColumns count="2">
    <tableColumn id="1" xr3:uid="{19C4DCD2-96A4-484A-BEA1-C3C8909CBAC1}" name="Criticality" dataDxfId="67"/>
    <tableColumn id="2" xr3:uid="{34A95B4D-436B-4DB2-8A16-201614C79206}" name="Business view" dataDxfId="66"/>
  </tableColumns>
  <tableStyleInfo name="TableStyleLight4" showFirstColumn="0" showLastColumn="0" showRowStripes="1" showColumnStripes="0"/>
</table>
</file>

<file path=xl/tables/table1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B0F02743-ACB6-4433-9A84-D035A6188F9E}" name="Table34" displayName="Table34" ref="H4:H11" totalsRowShown="0" headerRowDxfId="65" dataDxfId="64">
  <autoFilter ref="H4:H11" xr:uid="{B0F02743-ACB6-4433-9A84-D035A6188F9E}"/>
  <tableColumns count="1">
    <tableColumn id="1" xr3:uid="{15379C4D-26A4-4B3A-9986-D0D5126C184E}" name="Journey" dataDxfId="63"/>
  </tableColumns>
  <tableStyleInfo name="TableStyleLight4" showFirstColumn="0" showLastColumn="0" showRowStripes="1" showColumnStripes="0"/>
</table>
</file>

<file path=xl/tables/table1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8D5B57EC-465D-4507-A1BF-7D5FBA6A74A5}" name="Table37" displayName="Table37" ref="C8:D12" totalsRowShown="0" headerRowDxfId="62" dataDxfId="61">
  <autoFilter ref="C8:D12" xr:uid="{8D5B57EC-465D-4507-A1BF-7D5FBA6A74A5}"/>
  <tableColumns count="2">
    <tableColumn id="1" xr3:uid="{3F542300-ACBD-4243-A389-620F2288818C}" name="Status" dataDxfId="60"/>
    <tableColumn id="2" xr3:uid="{129B4BE6-7902-428A-B31C-9A1111DE9209}" name="Description" dataDxfId="59"/>
  </tableColumns>
  <tableStyleInfo name="TableStyleLight4" showFirstColumn="0" showLastColumn="0" showRowStripes="1" showColumnStripes="0"/>
</table>
</file>

<file path=xl/tables/table1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642DE7-3F3A-4853-A815-49FB960C2AE4}" name="Table2" displayName="Table2" ref="J4:J13" totalsRowShown="0" headerRowDxfId="58" dataDxfId="57">
  <autoFilter ref="J4:J13" xr:uid="{0C642DE7-3F3A-4853-A815-49FB960C2AE4}"/>
  <sortState xmlns:xlrd2="http://schemas.microsoft.com/office/spreadsheetml/2017/richdata2" ref="J5:J10">
    <sortCondition ref="J4:J10"/>
  </sortState>
  <tableColumns count="1">
    <tableColumn id="1" xr3:uid="{B17816EF-1AB9-4E11-BC0E-FACE827B8C84}" name="Category" dataDxfId="56"/>
  </tableColumns>
  <tableStyleInfo name="TableStyleLight4" showFirstColumn="0" showLastColumn="0" showRowStripes="1" showColumnStripes="0"/>
</table>
</file>

<file path=xl/tables/table1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9" xr:uid="{965A83B4-DDA4-4B23-BC77-89316E2E4B62}" name="Table49" displayName="Table49" ref="J15:J24" totalsRowShown="0" headerRowDxfId="55" dataDxfId="54">
  <autoFilter ref="J15:J24" xr:uid="{965A83B4-DDA4-4B23-BC77-89316E2E4B62}"/>
  <tableColumns count="1">
    <tableColumn id="1" xr3:uid="{1F89324A-E61F-4A72-883D-46FA9BAFFCFA}" name="Frequency" dataDxfId="53"/>
  </tableColumns>
  <tableStyleInfo name="TableStyleLight4" showFirstColumn="0" showLastColumn="0" showRowStripes="1" showColumnStripes="0"/>
</table>
</file>

<file path=xl/tables/table1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1" xr:uid="{344E3312-2336-4259-A328-2F6AEDE3479E}" name="Table51" displayName="Table51" ref="C14:C19" totalsRowShown="0" headerRowDxfId="52">
  <autoFilter ref="C14:C19" xr:uid="{344E3312-2336-4259-A328-2F6AEDE3479E}"/>
  <tableColumns count="1">
    <tableColumn id="1" xr3:uid="{722308C0-AFD8-4C46-9539-86B3F7F34103}" name="Microsoft Logo"/>
  </tableColumns>
  <tableStyleInfo name="TableStyleLight4"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B78C1409-8F44-43AC-95C9-C90F23D8E255}" name="Table18" displayName="Table18" ref="D137:D140" totalsRowShown="0" headerRowDxfId="1814" dataDxfId="1813">
  <autoFilter ref="D137:D140" xr:uid="{B78C1409-8F44-43AC-95C9-C90F23D8E255}"/>
  <tableColumns count="1">
    <tableColumn id="1" xr3:uid="{BCFEAB9C-599B-4C07-A88B-33ABDA429C46}" name="Hosting Environment" dataDxfId="1812"/>
  </tableColumns>
  <tableStyleInfo name="TableStyleLight1" showFirstColumn="0" showLastColumn="0" showRowStripes="1" showColumnStripes="0"/>
</table>
</file>

<file path=xl/tables/table1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3" xr:uid="{8285402A-C7B7-43D9-8690-8938E14D7021}" name="Table53" displayName="Table53" ref="C21:C28" totalsRowShown="0" headerRowDxfId="51" dataDxfId="50">
  <autoFilter ref="C21:C28" xr:uid="{8285402A-C7B7-43D9-8690-8938E14D7021}"/>
  <tableColumns count="1">
    <tableColumn id="1" xr3:uid="{CA119A9A-3BE0-48E1-840B-9E061343BF1F}" name="Application Lifecycle" dataDxfId="49"/>
  </tableColumns>
  <tableStyleInfo name="TableStyleLight4" showFirstColumn="0" showLastColumn="0" showRowStripes="1" showColumnStripes="0"/>
</table>
</file>

<file path=xl/tables/table1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4" xr:uid="{7C1210F3-F2A5-4486-BF04-88464465F423}" name="Table54" displayName="Table54" ref="C30:C33" totalsRowShown="0" headerRowDxfId="48" dataDxfId="47">
  <autoFilter ref="C30:C33" xr:uid="{7C1210F3-F2A5-4486-BF04-88464465F423}"/>
  <tableColumns count="1">
    <tableColumn id="1" xr3:uid="{E3ABADD7-9AC9-409C-9D35-5B4D01958A1F}" name="Environment" dataDxfId="46"/>
  </tableColumns>
  <tableStyleInfo name="TableStyleLight4" showFirstColumn="0" showLastColumn="0" showRowStripes="1" showColumnStripes="0"/>
</table>
</file>

<file path=xl/tables/table1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6" xr:uid="{E9B6FE79-9219-4692-9100-E5DC3854490A}" name="Table56" displayName="Table56" ref="F8:F13" totalsRowShown="0" headerRowDxfId="45" dataDxfId="44">
  <autoFilter ref="F8:F13" xr:uid="{E9B6FE79-9219-4692-9100-E5DC3854490A}"/>
  <tableColumns count="1">
    <tableColumn id="1" xr3:uid="{3C540F66-91C3-4688-8A3A-7A08F051B146}" name="Recovery Strategy" dataDxfId="43"/>
  </tableColumns>
  <tableStyleInfo name="TableStyleLight4" showFirstColumn="0" showLastColumn="0" showRowStripes="1" showColumnStripes="0"/>
</table>
</file>

<file path=xl/tables/table1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7" xr:uid="{A4585B76-2F53-40AF-98F2-ED58377CB953}" name="Table57" displayName="Table57" ref="F15:F24" totalsRowShown="0" headerRowDxfId="42" dataDxfId="41">
  <autoFilter ref="F15:F24" xr:uid="{A4585B76-2F53-40AF-98F2-ED58377CB953}"/>
  <tableColumns count="1">
    <tableColumn id="1" xr3:uid="{4FFF2344-8C21-44EB-8485-6BC4988255BD}" name="Availability Strategy" dataDxfId="40"/>
  </tableColumns>
  <tableStyleInfo name="TableStyleLight4" showFirstColumn="0" showLastColumn="0" showRowStripes="1" showColumnStripes="0"/>
</table>
</file>

<file path=xl/tables/table1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8" xr:uid="{A4DC07A6-F0DE-42ED-8DCE-97559F8819D7}" name="Table58" displayName="Table58" ref="F26:F28" totalsRowShown="0" headerRowDxfId="39" dataDxfId="38">
  <autoFilter ref="F26:F28" xr:uid="{A4DC07A6-F0DE-42ED-8DCE-97559F8819D7}"/>
  <tableColumns count="1">
    <tableColumn id="1" xr3:uid="{ED82729B-07D5-4BC9-B5EA-A7893A0A34B2}" name="Assessment" dataDxfId="37"/>
  </tableColumns>
  <tableStyleInfo name="TableStyleLight4" showFirstColumn="0" showLastColumn="0" showRowStripes="1" showColumnStripes="0"/>
</table>
</file>

<file path=xl/tables/table1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0FC5C591-7B14-41AD-91AA-40CB872A021D}" name="Table35" displayName="Table35" ref="H13:H15" totalsRowShown="0" headerRowDxfId="36" dataDxfId="35">
  <autoFilter ref="H13:H15" xr:uid="{0FC5C591-7B14-41AD-91AA-40CB872A021D}"/>
  <tableColumns count="1">
    <tableColumn id="1" xr3:uid="{242938CF-8AF5-4BDB-B0BB-AD045E3CBEF2}" name="Workshop" dataDxfId="34"/>
  </tableColumns>
  <tableStyleInfo name="TableStyleLight4" showFirstColumn="0" showLastColumn="0" showRowStripes="1" showColumnStripes="0"/>
</table>
</file>

<file path=xl/tables/table1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0" xr:uid="{641269C9-C2DB-4EB8-A420-205D0C72011A}" name="Table60" displayName="Table60" ref="H17:H19" totalsRowShown="0" headerRowDxfId="33" dataDxfId="32">
  <autoFilter ref="H17:H19" xr:uid="{641269C9-C2DB-4EB8-A420-205D0C72011A}"/>
  <tableColumns count="1">
    <tableColumn id="1" xr3:uid="{B78CBDAC-8303-4C78-9759-8E469492ECB5}" name="Status" dataDxfId="31"/>
  </tableColumns>
  <tableStyleInfo name="TableStyleLight4" showFirstColumn="0" showLastColumn="0" showRowStripes="1" showColumnStripes="0"/>
</table>
</file>

<file path=xl/tables/table1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239D4FD9-3828-4BCF-9A8A-7E0119B27FFA}" name="Table14" displayName="Table14" ref="H21:H23" totalsRowShown="0" headerRowDxfId="30" dataDxfId="29">
  <autoFilter ref="H21:H23" xr:uid="{239D4FD9-3828-4BCF-9A8A-7E0119B27FFA}"/>
  <tableColumns count="1">
    <tableColumn id="1" xr3:uid="{233DC11F-8337-43E5-A04A-D84E2FD14308}" name="Requirement" dataDxfId="28"/>
  </tableColumns>
  <tableStyleInfo name="TableStyleLight4" showFirstColumn="0" showLastColumn="0" showRowStripes="1" showColumnStripes="0"/>
</table>
</file>

<file path=xl/tables/table1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D9E541E8-05B4-4A43-BD68-26F7B765F16C}" name="Table13" displayName="Table13" ref="J26:J30" totalsRowShown="0" headerRowDxfId="27" dataDxfId="26">
  <autoFilter ref="J26:J30" xr:uid="{D9E541E8-05B4-4A43-BD68-26F7B765F16C}"/>
  <sortState xmlns:xlrd2="http://schemas.microsoft.com/office/spreadsheetml/2017/richdata2" ref="J27:J30">
    <sortCondition ref="J26:J30"/>
  </sortState>
  <tableColumns count="1">
    <tableColumn id="1" xr3:uid="{E85618A6-6874-4919-AF3B-550536C8884B}" name="Cloud Model" dataDxfId="25"/>
  </tableColumns>
  <tableStyleInfo name="TableStyleLight4" showFirstColumn="0" showLastColumn="0" showRowStripes="1" showColumnStripes="0"/>
</table>
</file>

<file path=xl/tables/table1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BE6D2758-AA90-42EF-9146-24AEF67D667F}" name="Table21" displayName="Table21" ref="L16:M21" totalsRowShown="0" headerRowDxfId="24" dataDxfId="23">
  <autoFilter ref="L16:M21" xr:uid="{BE6D2758-AA90-42EF-9146-24AEF67D667F}"/>
  <tableColumns count="2">
    <tableColumn id="1" xr3:uid="{B69CDA60-91C6-47DD-96A7-33B5256364C3}" name="Resiliency" dataDxfId="22"/>
    <tableColumn id="2" xr3:uid="{34950740-1246-42F7-9EBC-CE6567A0F5C2}" name="Description" dataDxfId="21"/>
  </tableColumns>
  <tableStyleInfo name="TableStyleLight4"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21A938F6-EBD6-4DDC-B43F-6EA155F0B5E9}" name="Table19" displayName="Table19" ref="D106:D110" totalsRowShown="0" headerRowDxfId="1811" dataDxfId="1810">
  <autoFilter ref="D106:D110" xr:uid="{21A938F6-EBD6-4DDC-B43F-6EA155F0B5E9}"/>
  <sortState xmlns:xlrd2="http://schemas.microsoft.com/office/spreadsheetml/2017/richdata2" ref="D107:D110">
    <sortCondition ref="D106:D110"/>
  </sortState>
  <tableColumns count="1">
    <tableColumn id="1" xr3:uid="{BE2F7F5B-8BD6-46E6-9831-425008386EB0}" name="Directory Services" dataDxfId="1809"/>
  </tableColumns>
  <tableStyleInfo name="TableStyleLight1" showFirstColumn="0" showLastColumn="0" showRowStripes="1" showColumnStripes="0"/>
</table>
</file>

<file path=xl/tables/table1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4F138D34-35F0-4C04-B61F-103D2BB5433B}" name="Table39" displayName="Table39" ref="L23:M28" totalsRowShown="0" headerRowDxfId="20" dataDxfId="19">
  <autoFilter ref="L23:M28" xr:uid="{4F138D34-35F0-4C04-B61F-103D2BB5433B}"/>
  <sortState xmlns:xlrd2="http://schemas.microsoft.com/office/spreadsheetml/2017/richdata2" ref="L24:M27">
    <sortCondition ref="L23:L27"/>
  </sortState>
  <tableColumns count="2">
    <tableColumn id="1" xr3:uid="{B8DEF5D0-1887-4ADC-8B51-D7C9DB7EAA22}" name="Regional Category" dataDxfId="18"/>
    <tableColumn id="2" xr3:uid="{0401A3C6-F08C-48D9-9D87-3F981D8A0383}" name="Description" dataDxfId="17"/>
  </tableColumns>
  <tableStyleInfo name="TableStyleLight4" showFirstColumn="0" showLastColumn="0" showRowStripes="1" showColumnStripes="0"/>
</table>
</file>

<file path=xl/tables/table1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8" xr:uid="{66BDC321-7B5B-4256-B659-CD46774E9D5D}" name="Table48" displayName="Table48" ref="C35:C47" totalsRowShown="0" headerRowDxfId="16" dataDxfId="15">
  <autoFilter ref="C35:C47" xr:uid="{66BDC321-7B5B-4256-B659-CD46774E9D5D}"/>
  <tableColumns count="1">
    <tableColumn id="1" xr3:uid="{BB9FDB49-0DAA-446D-A48C-77867B9A5C5C}" name="Roles" dataDxfId="14"/>
  </tableColumns>
  <tableStyleInfo name="TableStyleLight4" showFirstColumn="0" showLastColumn="0" showRowStripes="1" showColumnStripes="0"/>
</table>
</file>

<file path=xl/tables/table1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0" xr:uid="{C732CE54-8029-44AB-BD8B-03BD59F3D2E5}" name="Table80" displayName="Table80" ref="F30:F33" totalsRowShown="0" headerRowDxfId="13" dataDxfId="12">
  <autoFilter ref="F30:F33" xr:uid="{C732CE54-8029-44AB-BD8B-03BD59F3D2E5}"/>
  <tableColumns count="1">
    <tableColumn id="1" xr3:uid="{630686ED-E288-40FD-953C-41717B2F8D3D}" name="Required" dataDxfId="11"/>
  </tableColumns>
  <tableStyleInfo name="TableStyleLight4" showFirstColumn="0" showLastColumn="0" showRowStripes="1" showColumnStripes="0"/>
</table>
</file>

<file path=xl/tables/table1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 xr:uid="{028D62BB-D0FD-437C-986C-BCF35BA7C071}" name="Table30" displayName="Table30" ref="L30:M32" totalsRowShown="0" headerRowDxfId="10" dataDxfId="9">
  <autoFilter ref="L30:M32" xr:uid="{028D62BB-D0FD-437C-986C-BCF35BA7C071}"/>
  <tableColumns count="2">
    <tableColumn id="1" xr3:uid="{12E81677-862F-46AB-99DD-65B84D4BAF90}" name="Shift" dataDxfId="8"/>
    <tableColumn id="2" xr3:uid="{40E5221D-C589-42C4-BB57-9AE32CF92DD8}" name="Description" dataDxfId="7"/>
  </tableColumns>
  <tableStyleInfo name="TableStyleLight4" showFirstColumn="0" showLastColumn="0" showRowStripes="1" showColumnStripes="0"/>
</table>
</file>

<file path=xl/tables/table1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2" xr:uid="{C575CCE8-F4FF-4C1F-A815-3647784482D8}" name="Table62" displayName="Table62" ref="L34:M37" totalsRowShown="0" headerRowDxfId="6" dataDxfId="5">
  <autoFilter ref="L34:M37" xr:uid="{C575CCE8-F4FF-4C1F-A815-3647784482D8}"/>
  <sortState xmlns:xlrd2="http://schemas.microsoft.com/office/spreadsheetml/2017/richdata2" ref="L35:M37">
    <sortCondition ref="L34:L37"/>
  </sortState>
  <tableColumns count="2">
    <tableColumn id="1" xr3:uid="{1B9C2AF6-5255-4BA2-B657-974C9F859739}" name="Test Type" dataDxfId="4"/>
    <tableColumn id="2" xr3:uid="{06AB9076-3E82-4626-9A37-C1D0D1237E8F}" name="Description" dataDxfId="3"/>
  </tableColumns>
  <tableStyleInfo name="TableStyleLight4" showFirstColumn="0" showLastColumn="0" showRowStripes="1" showColumnStripes="0"/>
</table>
</file>

<file path=xl/tables/table1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9" xr:uid="{1F8F77EB-94B2-47A7-B1F7-F0DB53CA693A}" name="Table79" displayName="Table79" ref="H25:H27" totalsRowShown="0" headerRowDxfId="2" dataDxfId="1">
  <autoFilter ref="H25:H27" xr:uid="{1F8F77EB-94B2-47A7-B1F7-F0DB53CA693A}"/>
  <tableColumns count="1">
    <tableColumn id="1" xr3:uid="{93CE41A8-FDA9-4402-965C-86422CF32191}" name="Test Result" dataDxfId="0"/>
  </tableColumns>
  <tableStyleInfo name="TableStyleLight4"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59247A96-21E1-4D65-9C77-20EFBCC8BC8B}" name="Table20" displayName="Table20" ref="D85:D91" totalsRowShown="0" headerRowDxfId="1808" dataDxfId="1807">
  <autoFilter ref="D85:D91" xr:uid="{59247A96-21E1-4D65-9C77-20EFBCC8BC8B}"/>
  <sortState xmlns:xlrd2="http://schemas.microsoft.com/office/spreadsheetml/2017/richdata2" ref="D86:D91">
    <sortCondition ref="D85:D91"/>
  </sortState>
  <tableColumns count="1">
    <tableColumn id="1" xr3:uid="{45F9FCE3-C674-4CC7-BBFB-C125826FF662}" name="Dependencies (upstream)" dataDxfId="1806"/>
  </tableColumns>
  <tableStyleInfo name="TableStyleLight1"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85715929-7B2E-41AC-A52D-8D046ADBDF4B}" name="Table22" displayName="Table22" ref="D196:D198" totalsRowShown="0" headerRowDxfId="1805" dataDxfId="1804">
  <autoFilter ref="D196:D198" xr:uid="{85715929-7B2E-41AC-A52D-8D046ADBDF4B}"/>
  <tableColumns count="1">
    <tableColumn id="1" xr3:uid="{57372A5F-E5E0-4BDD-8295-25870E45668E}" name="Resilience (Availability)" dataDxfId="1803"/>
  </tableColumns>
  <tableStyleInfo name="TableStyleLight1"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930E14C2-6B88-42EC-A25D-A11FD492C643}" name="Table24" displayName="Table24" ref="D202:D204" totalsRowShown="0" headerRowDxfId="1802" dataDxfId="1801">
  <autoFilter ref="D202:D204" xr:uid="{930E14C2-6B88-42EC-A25D-A11FD492C643}"/>
  <tableColumns count="1">
    <tableColumn id="1" xr3:uid="{24D8C45A-7DFF-4BD1-839A-8EADA953E019}" name="Resilience (Recovery)" dataDxfId="1800"/>
  </tableColumns>
  <tableStyleInfo name="TableStyleLight1"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 xr:uid="{93A5313D-29B9-48EA-8819-EEE72B8B5C5D}" name="Table27" displayName="Table27" ref="D181:D192" totalsRowShown="0" headerRowDxfId="1799" dataDxfId="1798">
  <autoFilter ref="D181:D192" xr:uid="{93A5313D-29B9-48EA-8819-EEE72B8B5C5D}"/>
  <tableColumns count="1">
    <tableColumn id="1" xr3:uid="{0E2A4B10-8827-46B3-A32E-788C1C9DC031}" name="Owners" dataDxfId="1797"/>
  </tableColumns>
  <tableStyleInfo name="TableStyleLight1"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458D014F-2222-45B3-915B-8491EF2E9148}" name="Table28" displayName="Table28" ref="D58:D65" totalsRowShown="0" headerRowDxfId="1796" dataDxfId="1795">
  <autoFilter ref="D58:D65" xr:uid="{458D014F-2222-45B3-915B-8491EF2E9148}"/>
  <tableColumns count="1">
    <tableColumn id="1" xr3:uid="{7032C69E-55B3-48F9-92D2-8689863ACCBF}" name="Business Functions" dataDxfId="1794"/>
  </tableColumns>
  <tableStyleInfo name="TableStyleLight1"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541B2DF0-DC0F-4F57-A8F0-80887624D41A}" name="Table29" displayName="Table29" ref="D100:D102" totalsRowShown="0" headerRowDxfId="1793" dataDxfId="1792">
  <autoFilter ref="D100:D102" xr:uid="{541B2DF0-DC0F-4F57-A8F0-80887624D41A}"/>
  <tableColumns count="1">
    <tableColumn id="1" xr3:uid="{21B85942-DCEE-4FA6-A1A9-B8C45CB504D7}" name="Deployment" dataDxfId="1791"/>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B797FF2B-CB2F-4F41-8EF5-81160B85EE3C}" name="Table8" displayName="Table8" ref="C4:E48" totalsRowShown="0" headerRowDxfId="2032" dataDxfId="2031">
  <autoFilter ref="C4:E48" xr:uid="{B797FF2B-CB2F-4F41-8EF5-81160B85EE3C}"/>
  <sortState xmlns:xlrd2="http://schemas.microsoft.com/office/spreadsheetml/2017/richdata2" ref="C5:E48">
    <sortCondition ref="C4:C48"/>
  </sortState>
  <tableColumns count="3">
    <tableColumn id="1" xr3:uid="{EC848E74-0ADF-4AE8-AE96-862CBCA7B3DD}" name="Term" dataDxfId="2030"/>
    <tableColumn id="3" xr3:uid="{B6E56F77-7FE9-4CFC-8698-724878454D49}" name="Abbreviation" dataDxfId="2029"/>
    <tableColumn id="2" xr3:uid="{22647311-4AB8-47A5-AF98-07352BC2E158}" name="Definition" dataDxfId="2028"/>
  </tableColumns>
  <tableStyleInfo name="TableStyleLight4" showFirstColumn="0" showLastColumn="0" showRowStripes="1"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50F3EE59-931A-4D31-8EB1-A0E4EE6F1DB8}" name="Table32" displayName="Table32" ref="D172:D177" totalsRowShown="0" headerRowDxfId="1790" dataDxfId="1789">
  <autoFilter ref="D172:D177" xr:uid="{50F3EE59-931A-4D31-8EB1-A0E4EE6F1DB8}"/>
  <sortState xmlns:xlrd2="http://schemas.microsoft.com/office/spreadsheetml/2017/richdata2" ref="D173:D177">
    <sortCondition ref="D172:D177"/>
  </sortState>
  <tableColumns count="1">
    <tableColumn id="1" xr3:uid="{3E6227D0-C6FC-4605-9801-262554FF9760}" name="Processes" dataDxfId="1788"/>
  </tableColumns>
  <tableStyleInfo name="TableStyleLight1" showFirstColumn="0" showLastColumn="0" showRowStripes="1"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38920B75-8537-4893-904E-E1EA07140B9A}" name="Table33" displayName="Table33" ref="D144:D150" totalsRowShown="0" headerRowDxfId="1787" dataDxfId="1786">
  <autoFilter ref="D144:D150" xr:uid="{38920B75-8537-4893-904E-E1EA07140B9A}"/>
  <tableColumns count="1">
    <tableColumn id="1" xr3:uid="{D315A425-0302-4E27-BEE9-9387A5717F4D}" name="Metrics" dataDxfId="1785"/>
  </tableColumns>
  <tableStyleInfo name="TableStyleLight1" showFirstColumn="0" showLastColumn="0" showRowStripes="1" showColumnStripes="0"/>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BA466D47-F3D2-42FC-8BEE-A5A4088F8A58}" name="Table36" displayName="Table36" ref="D114:D124" totalsRowShown="0" headerRowDxfId="1784" dataDxfId="1783">
  <autoFilter ref="D114:D124" xr:uid="{BA466D47-F3D2-42FC-8BEE-A5A4088F8A58}"/>
  <sortState xmlns:xlrd2="http://schemas.microsoft.com/office/spreadsheetml/2017/richdata2" ref="D115:D124">
    <sortCondition ref="D114:D124"/>
  </sortState>
  <tableColumns count="1">
    <tableColumn id="1" xr3:uid="{16879252-3FBC-4959-8E13-F49B4FBEB566}" name="Documentation" dataDxfId="1782"/>
  </tableColumns>
  <tableStyleInfo name="TableStyleLight1" showFirstColumn="0" showLastColumn="0" showRowStripes="1" showColumnStripes="0"/>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5F3C438A-1539-4EEF-AD07-C0B21117E5A2}" name="Table42" displayName="Table42" ref="D49:D54" totalsRowShown="0" headerRowDxfId="1781" dataDxfId="1780">
  <autoFilter ref="D49:D54" xr:uid="{5F3C438A-1539-4EEF-AD07-C0B21117E5A2}"/>
  <tableColumns count="1">
    <tableColumn id="1" xr3:uid="{467C705D-2B32-41DB-BB10-26E51B2259B5}" name="Application Development Logic" dataDxfId="1779"/>
  </tableColumns>
  <tableStyleInfo name="TableStyleLight1" showFirstColumn="0" showLastColumn="0" showRowStripes="1" showColumnStripes="0"/>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0C54FF92-0EB8-41F0-A647-83A3EE64E64B}" name="Table2045" displayName="Table2045" ref="D95:D96" totalsRowShown="0" headerRowDxfId="1778" dataDxfId="1777">
  <autoFilter ref="D95:D96" xr:uid="{0C54FF92-0EB8-41F0-A647-83A3EE64E64B}"/>
  <tableColumns count="1">
    <tableColumn id="1" xr3:uid="{4BA8162A-7B26-46FE-9AC2-5446A7E80049}" name="Dependencies (downstream)" dataDxfId="1776"/>
  </tableColumns>
  <tableStyleInfo name="TableStyleLight1" showFirstColumn="0" showLastColumn="0" showRowStripes="1" showColumnStripes="0"/>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5107C113-5FC3-41E1-AFE1-F2EEA9457015}" name="Table542" displayName="Table542" ref="D215:D220" totalsRowShown="0" headerRowDxfId="1775" dataDxfId="1774">
  <autoFilter ref="D215:D220" xr:uid="{5107C113-5FC3-41E1-AFE1-F2EEA9457015}"/>
  <tableColumns count="1">
    <tableColumn id="1" xr3:uid="{86A49823-375C-4E13-B1CD-F836A12F7615}" name="Users" dataDxfId="1773"/>
  </tableColumns>
  <tableStyleInfo name="TableStyleLight1" showFirstColumn="0" showLastColumn="0" showRowStripes="1" showColumnStripes="0"/>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25A524DB-752C-468E-83E0-90EB553FC858}" name="Table2444" displayName="Table2444" ref="D208:D211" totalsRowShown="0" headerRowDxfId="1772" dataDxfId="1771">
  <autoFilter ref="D208:D211" xr:uid="{25A524DB-752C-468E-83E0-90EB553FC858}"/>
  <tableColumns count="1">
    <tableColumn id="1" xr3:uid="{0FA834E0-6ECC-4253-9CF5-8A8978563286}" name="Vendors and Support Agreements" dataDxfId="1770"/>
  </tableColumns>
  <tableStyleInfo name="TableStyleLight1" showFirstColumn="0" showLastColumn="0" showRowStripes="1" showColumnStripes="0"/>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9" xr:uid="{EAAE7CF1-A170-4133-9C32-5FDE98AFCD4A}" name="Table2060" displayName="Table2060" ref="D69:D81" totalsRowShown="0" headerRowDxfId="1769" dataDxfId="1768">
  <autoFilter ref="D69:D81" xr:uid="{EAAE7CF1-A170-4133-9C32-5FDE98AFCD4A}"/>
  <sortState xmlns:xlrd2="http://schemas.microsoft.com/office/spreadsheetml/2017/richdata2" ref="D70:D81">
    <sortCondition ref="D69:D81"/>
  </sortState>
  <tableColumns count="1">
    <tableColumn id="1" xr3:uid="{D5BAA7CC-7EA4-4646-8526-80239E85C8EF}" name="Services" dataDxfId="1767"/>
  </tableColumns>
  <tableStyleInfo name="TableStyleLight1" showFirstColumn="0" showLastColumn="0" showRowStripes="1" showColumnStripes="0"/>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75242EDA-33C2-4F8E-A43A-A217B63012AE}" name="Table4" displayName="Table4" ref="D25:D44" totalsRowShown="0" headerRowDxfId="1766" dataDxfId="1765">
  <autoFilter ref="D25:D44" xr:uid="{75242EDA-33C2-4F8E-A43A-A217B63012AE}"/>
  <tableColumns count="1">
    <tableColumn id="1" xr3:uid="{CE701842-854E-4398-BAAF-2156A7976B87}" name="Link" dataDxfId="1764"/>
  </tableColumns>
  <tableStyleInfo name="TableStyleLight4" showFirstColumn="0" showLastColumn="0" showRowStripes="1" showColumnStripes="0"/>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2" xr:uid="{4DF7D870-9A88-40E7-8290-0B0ECB06BFF5}" name="Table859193" displayName="Table859193" ref="E64:R185" totalsRowShown="0" headerRowDxfId="1695" tableBorderDxfId="1694" totalsRowBorderDxfId="1693">
  <autoFilter ref="E64:R185" xr:uid="{4DF7D870-9A88-40E7-8290-0B0ECB06BFF5}"/>
  <tableColumns count="14">
    <tableColumn id="14" xr3:uid="{18098356-2A4F-4F6F-81EA-E3B43CD5D45B}" name="Requirements 4" dataDxfId="1692"/>
    <tableColumn id="1" xr3:uid="{4441752B-E358-40D9-AE59-DC48E68DC5DA}" name="Consideration"/>
    <tableColumn id="2" xr3:uid="{CEB18282-D14A-4091-A58A-82B8725B741B}" name="Azure AD"/>
    <tableColumn id="3" xr3:uid="{AFCED7AF-954C-459E-93EA-9BEAB75DC8A9}" name="Azure DNS (Public)"/>
    <tableColumn id="4" xr3:uid="{A7B5E617-8A64-48DB-AF26-55EF6216AAA0}" name="App Service Plan"/>
    <tableColumn id="5" xr3:uid="{6220B874-34FA-43A3-BE97-73F298B8ECA8}" name="Azure Service Bus"/>
    <tableColumn id="6" xr3:uid="{0AE1895E-9F11-4E56-AD91-6481C164DD72}" name="Azure Function App"/>
    <tableColumn id="7" xr3:uid="{F05B597D-504D-4A0E-9148-8E71C9B80FB0}" name="Azure Redis Cache"/>
    <tableColumn id="8" xr3:uid="{41D24585-638E-4A8F-B7B8-20DEFC384C08}" name="Azure SQL"/>
    <tableColumn id="9" xr3:uid="{DDF92DD2-73BB-4DAD-922D-217D8A4BF1BD}" name="Cosmos DB (NoSQL)"/>
    <tableColumn id="10" xr3:uid="{52768F7A-FB71-44B1-A9C3-AD98769CE86B}" name="Warehouse Inventory Management"/>
    <tableColumn id="11" xr3:uid="{8D1066FE-97C4-4E71-9CD7-E89E8EBE9786}" name="Order Fulfillment"/>
    <tableColumn id="12" xr3:uid="{1BFD7A69-05E5-485E-8E91-517767A8CE65}" name="Status"/>
    <tableColumn id="13" xr3:uid="{8D8F896A-9CE4-406A-891C-FD4CF0EADF69}" name="Gap Analysis" dataDxfId="1691"/>
  </tableColumns>
  <tableStyleInfo name="TableStyleLight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33EEE9FA-4418-46D4-A51E-50F7B5B88C40}" name="Table3013" displayName="Table3013" ref="D16:L26" totalsRowShown="0" headerRowDxfId="2017" dataDxfId="2016">
  <autoFilter ref="D16:L26" xr:uid="{F817BAC7-D390-4ED6-8111-C92CD97A730A}"/>
  <sortState xmlns:xlrd2="http://schemas.microsoft.com/office/spreadsheetml/2017/richdata2" ref="D17:F26">
    <sortCondition ref="D16:D26"/>
  </sortState>
  <tableColumns count="9">
    <tableColumn id="1" xr3:uid="{88887C18-1573-4B48-9797-97CD3DB46262}" name="Tier" dataDxfId="2015"/>
    <tableColumn id="2" xr3:uid="{8154683A-6E22-4F80-B03C-B8CD09EF190A}" name="Criticality 1" dataDxfId="2014"/>
    <tableColumn id="3" xr3:uid="{A0260731-C9D3-4FCE-9DE1-ECA50E4B0872}" name="Business View" dataDxfId="2013"/>
    <tableColumn id="5" xr3:uid="{8D293FF4-763B-4387-A161-6C2834C2974E}" name="Financial" dataDxfId="2012"/>
    <tableColumn id="6" xr3:uid="{C81A4446-FF44-4DF5-B6D3-8FF1AD4E439A}" name="Brand Reputation" dataDxfId="2011"/>
    <tableColumn id="7" xr3:uid="{1AF2523D-D283-40F2-8ED6-EFEAD7CBC8BA}" name="Customer Trust" dataDxfId="2010"/>
    <tableColumn id="10" xr3:uid="{378A3C4A-08C3-44C4-8932-22AE8D49DCF1}" name="Customer Experience" dataDxfId="2009"/>
    <tableColumn id="8" xr3:uid="{02DB9C47-B1C8-4E60-A0FC-A14907CF94F2}" name="Injury / Loss of Life" dataDxfId="2008"/>
    <tableColumn id="9" xr3:uid="{C4666FDC-6D57-4254-ACFB-68686F6D66BA}" name="Employee Productivity" dataDxfId="2007"/>
  </tableColumns>
  <tableStyleInfo name="TableStyleLight4" showFirstColumn="0" showLastColumn="0" showRowStripes="1" showColumnStripes="0"/>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5" xr:uid="{73253835-2F8C-4BA9-8A1B-98BFC27DB6B6}" name="Table4725107116" displayName="Table4725107116" ref="D47:P58" totalsRowShown="0" headerRowDxfId="1680" dataDxfId="1679" tableBorderDxfId="1678">
  <autoFilter ref="D47:P58" xr:uid="{73253835-2F8C-4BA9-8A1B-98BFC27DB6B6}"/>
  <tableColumns count="13">
    <tableColumn id="2" xr3:uid="{82B1A1E8-0BDF-42CC-A5D1-50DEFC6EC44D}" name="Service" dataDxfId="1677"/>
    <tableColumn id="14" xr3:uid="{AADDA1C8-17AB-43B4-A6CE-4959206534B1}" name="Type" dataDxfId="1676"/>
    <tableColumn id="3" xr3:uid="{B19CA51F-ED71-4880-B269-D83BE4485713}" name="SLA" dataDxfId="1675"/>
    <tableColumn id="12" xr3:uid="{14265A33-5D7D-4F27-A35F-F4847AC54551}" name="Downtime/Year (Days)" dataDxfId="1674">
      <calculatedColumnFormula>(365) - Table4725107116[[#This Row],[SLA]]*(365)</calculatedColumnFormula>
    </tableColumn>
    <tableColumn id="8" xr3:uid="{5A4FDA71-AA46-4817-B796-E7F3ED51A722}" name="Downtime/Year (Hours)" dataDxfId="1673">
      <calculatedColumnFormula>(24*365) - Table4725107116[[#This Row],[SLA]]*(24*365)</calculatedColumnFormula>
    </tableColumn>
    <tableColumn id="10" xr3:uid="{518AD373-F6B0-4922-9764-4B99A862F3B8}" name="Downtime/Year (Minutes)" dataDxfId="1672">
      <calculatedColumnFormula>Table4725107116[[#This Row],[Downtime/Year (Hours)]]*60</calculatedColumnFormula>
    </tableColumn>
    <tableColumn id="13" xr3:uid="{8E7E85AE-CD70-4407-ADEF-DEDE3A4AE1DE}" name="Downtime/Month (Days)" dataDxfId="1671">
      <calculatedColumnFormula>Table4725107116[[#This Row],[Downtime/Month (Hours)]]/24</calculatedColumnFormula>
    </tableColumn>
    <tableColumn id="9" xr3:uid="{0C0C6D1D-8A74-493D-866F-C97FEFAB2ED5}" name="Downtime/Month (Hours)" dataDxfId="1670">
      <calculatedColumnFormula>Table4725107116[[#This Row],[Downtime/Year (Hours)]]/12</calculatedColumnFormula>
    </tableColumn>
    <tableColumn id="11" xr3:uid="{02D731E8-1A8B-49E8-A6AB-6231E5E2A206}" name="Downtime/Month (Minutes)" dataDxfId="1669">
      <calculatedColumnFormula>Table4725107116[[#This Row],[Downtime/Month (Hours)]]*60</calculatedColumnFormula>
    </tableColumn>
    <tableColumn id="4" xr3:uid="{55F97C8A-7CC3-4F86-9BEB-C172FD511E14}" name="Reliability Score 1" dataDxfId="1668"/>
    <tableColumn id="5" xr3:uid="{78371BB0-8FB2-412A-BA02-47B66FE5B844}" name="Secure Score 3 4" dataDxfId="1667"/>
    <tableColumn id="6" xr3:uid="{AA46F1B6-6BBA-4A55-BFB6-977C21896C4C}" name="RPO (Hours)" dataDxfId="1666"/>
    <tableColumn id="7" xr3:uid="{6A36CE21-80E1-40D4-9415-E4488F540653}" name="RTO (Hours)" dataDxfId="1665"/>
  </tableColumns>
  <tableStyleInfo name="TableStyleLight4" showFirstColumn="0" showLastColumn="0" showRowStripes="1" showColumnStripes="0"/>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6" xr:uid="{355E5D41-B9D9-4C88-BE15-4ADC8474DE42}" name="Table472551108117" displayName="Table472551108117" ref="D64:P70" totalsRowShown="0" headerRowDxfId="1664" dataDxfId="1663" tableBorderDxfId="1662">
  <autoFilter ref="D64:P70" xr:uid="{355E5D41-B9D9-4C88-BE15-4ADC8474DE42}"/>
  <tableColumns count="13">
    <tableColumn id="2" xr3:uid="{E19FD556-1D2D-4972-8BFA-7A39BEA3DC68}" name="Service" dataDxfId="1661"/>
    <tableColumn id="14" xr3:uid="{8350480B-CE92-4FAD-A4A2-FD0EA072E838}" name="Type" dataDxfId="1660"/>
    <tableColumn id="3" xr3:uid="{6903A0D2-FD1C-4329-BB87-60689EE3368D}" name="SLA" dataDxfId="1659"/>
    <tableColumn id="12" xr3:uid="{76064E6A-5AE1-4F8D-B041-40DD240D5328}" name="Downtime/Year (Days)" dataDxfId="1658">
      <calculatedColumnFormula>(365) - Table472551108117[[#This Row],[SLA]]*(365)</calculatedColumnFormula>
    </tableColumn>
    <tableColumn id="8" xr3:uid="{82418E82-755A-489B-B4D3-A1B2503B789F}" name="Downtime/Year (Hours)" dataDxfId="1657">
      <calculatedColumnFormula>(24*365) - Table472551108117[[#This Row],[SLA]]*(24*365)</calculatedColumnFormula>
    </tableColumn>
    <tableColumn id="10" xr3:uid="{7859300D-AAB6-4E7C-9150-32E1B2FD6FB5}" name="Downtime/Year (Minutes)" dataDxfId="1656">
      <calculatedColumnFormula>Table472551108117[[#This Row],[Downtime/Year (Hours)]]*60</calculatedColumnFormula>
    </tableColumn>
    <tableColumn id="13" xr3:uid="{60B0BEDD-5A2D-41BE-B1B5-9C48217DE952}" name="Downtime/Month (Days)" dataDxfId="1655">
      <calculatedColumnFormula>Table472551108117[[#This Row],[Downtime/Month (Hours)]]/24</calculatedColumnFormula>
    </tableColumn>
    <tableColumn id="9" xr3:uid="{CB0229B3-89DB-4E66-837C-C87278E0CE98}" name="Downtime/Month (Hours)" dataDxfId="1654">
      <calculatedColumnFormula>Table472551108117[[#This Row],[Downtime/Year (Hours)]]/12</calculatedColumnFormula>
    </tableColumn>
    <tableColumn id="11" xr3:uid="{3F1CCBAA-2762-4DFF-A953-A5DE82801277}" name="Downtime/Month (Minutes)" dataDxfId="1653">
      <calculatedColumnFormula>Table472551108117[[#This Row],[Downtime/Month (Hours)]]*60</calculatedColumnFormula>
    </tableColumn>
    <tableColumn id="4" xr3:uid="{E7B78A3B-5895-455B-BCA3-EE846FB4072C}" name="Reliability Score 1" dataDxfId="1652"/>
    <tableColumn id="5" xr3:uid="{62074A78-BCF4-44CC-A56B-B50532013F15}" name="Secure Score 3 4" dataDxfId="1651"/>
    <tableColumn id="6" xr3:uid="{03998CFC-89B7-4A59-8CAF-C893FEE74BB4}" name="RPO (Hours)" dataDxfId="1650"/>
    <tableColumn id="7" xr3:uid="{5AB512A9-D9FE-4D25-9770-12683CF7FBF2}" name="RTO (Hours)" dataDxfId="1649"/>
  </tableColumns>
  <tableStyleInfo name="TableStyleLight4" showFirstColumn="0" showLastColumn="0" showRowStripes="1" showColumnStripes="0"/>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7" xr:uid="{E37B7E5A-DE3C-4965-AD80-E8A57053591C}" name="Table472556109118" displayName="Table472556109118" ref="D76:P81" totalsRowShown="0" headerRowDxfId="1648" dataDxfId="1647" tableBorderDxfId="1646">
  <autoFilter ref="D76:P81" xr:uid="{E37B7E5A-DE3C-4965-AD80-E8A57053591C}"/>
  <tableColumns count="13">
    <tableColumn id="2" xr3:uid="{8236CA32-9DB2-4FFD-AEEF-DAB050ECE9C3}" name="Service" dataDxfId="1645"/>
    <tableColumn id="14" xr3:uid="{72557261-CC94-4750-A1FF-2AFF92F8A5DA}" name="Type" dataDxfId="1644"/>
    <tableColumn id="3" xr3:uid="{E761F9B7-C2EF-443F-AE66-1FE0779B0870}" name="SLA" dataDxfId="1643"/>
    <tableColumn id="12" xr3:uid="{678A27E5-BA61-48F3-B569-7C11D8423216}" name="Downtime/Year (Days)" dataDxfId="1642">
      <calculatedColumnFormula>(365) - Table472556109118[[#This Row],[SLA]]*(365)</calculatedColumnFormula>
    </tableColumn>
    <tableColumn id="8" xr3:uid="{93A93D94-1CEF-4713-A13A-D7690CA1A7B5}" name="Downtime/Year (Hours)" dataDxfId="1641">
      <calculatedColumnFormula>(24*365) - Table472556109118[[#This Row],[SLA]]*(24*365)</calculatedColumnFormula>
    </tableColumn>
    <tableColumn id="10" xr3:uid="{0F5E702C-1853-4845-B041-C29CAE4B81A7}" name="Downtime/Year (Minutes)" dataDxfId="1640">
      <calculatedColumnFormula>Table472556109118[[#This Row],[Downtime/Year (Hours)]]*60</calculatedColumnFormula>
    </tableColumn>
    <tableColumn id="13" xr3:uid="{38BBA729-AC3B-4009-8ED1-7917DAD25BCE}" name="Downtime/Month (Days)" dataDxfId="1639">
      <calculatedColumnFormula>Table472556109118[[#This Row],[Downtime/Month (Hours)]]/24</calculatedColumnFormula>
    </tableColumn>
    <tableColumn id="9" xr3:uid="{EA9F0F2B-5392-4C17-9BEB-6515949BFDA5}" name="Downtime/Month (Hours)" dataDxfId="1638">
      <calculatedColumnFormula>Table472556109118[[#This Row],[Downtime/Year (Hours)]]/12</calculatedColumnFormula>
    </tableColumn>
    <tableColumn id="11" xr3:uid="{87454C07-79BB-4C17-8747-E30380F53321}" name="Downtime/Month (Minutes)" dataDxfId="1637">
      <calculatedColumnFormula>Table472556109118[[#This Row],[Downtime/Month (Hours)]]*60</calculatedColumnFormula>
    </tableColumn>
    <tableColumn id="4" xr3:uid="{068A1F5A-671A-4E26-927D-4B5B7E347A78}" name="Reliability Score 1" dataDxfId="1636"/>
    <tableColumn id="5" xr3:uid="{A518D40D-AABD-47CB-B113-2FAE37598A27}" name="Secure Score 3 4" dataDxfId="1635"/>
    <tableColumn id="6" xr3:uid="{3C0F6E27-4A3A-4288-B9B9-9E143EA1C113}" name="RPO (Hours)" dataDxfId="1634"/>
    <tableColumn id="7" xr3:uid="{4807BA69-C54D-4543-B389-F3E834F8BC27}" name="RTO (Hours)" dataDxfId="1633"/>
  </tableColumns>
  <tableStyleInfo name="TableStyleLight4" showFirstColumn="0" showLastColumn="0" showRowStripes="1" showColumnStripes="0"/>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8" xr:uid="{12BB8BBE-493A-47BB-9CC7-14AC344DF38B}" name="Table472591110119" displayName="Table472591110119" ref="D87:P95" totalsRowShown="0" headerRowDxfId="1632" dataDxfId="1631" tableBorderDxfId="1630">
  <autoFilter ref="D87:P95" xr:uid="{12BB8BBE-493A-47BB-9CC7-14AC344DF38B}"/>
  <tableColumns count="13">
    <tableColumn id="2" xr3:uid="{420DCB47-D602-4883-9BA9-E68DA7AE3F45}" name="Service" dataDxfId="1629"/>
    <tableColumn id="14" xr3:uid="{A97ACE47-E0DB-418C-A559-FD68D3C29892}" name="Type" dataDxfId="1628"/>
    <tableColumn id="3" xr3:uid="{0BFD4AFB-DEBD-4DFC-BD3B-E2CBF25FFD1D}" name="SLA" dataDxfId="1627"/>
    <tableColumn id="12" xr3:uid="{286F5246-683A-4F3A-ABC6-A01431917B23}" name="Downtime/Year (Days)" dataDxfId="1626">
      <calculatedColumnFormula>(365) - Table472591110119[[#This Row],[SLA]]*(365)</calculatedColumnFormula>
    </tableColumn>
    <tableColumn id="8" xr3:uid="{73EB6497-AF8B-454F-B353-0DA0E9A5A10B}" name="Downtime/Year (Hours)" dataDxfId="1625">
      <calculatedColumnFormula>(24*365) - Table472591110119[[#This Row],[SLA]]*(24*365)</calculatedColumnFormula>
    </tableColumn>
    <tableColumn id="10" xr3:uid="{DFAB606A-EC02-428D-8ACA-466D323AAA0B}" name="Downtime/Year (Minutes)" dataDxfId="1624">
      <calculatedColumnFormula>Table472591110119[[#This Row],[Downtime/Year (Hours)]]*60</calculatedColumnFormula>
    </tableColumn>
    <tableColumn id="13" xr3:uid="{2FB9B8EF-EDFC-4F5F-A672-C7D4B7EA6469}" name="Downtime/Month (Days)" dataDxfId="1623">
      <calculatedColumnFormula>Table472591110119[[#This Row],[Downtime/Month (Hours)]]/24</calculatedColumnFormula>
    </tableColumn>
    <tableColumn id="9" xr3:uid="{C7D510BB-C95A-4C48-8A7A-48408B6C1F37}" name="Downtime/Month (Hours)" dataDxfId="1622">
      <calculatedColumnFormula>Table472591110119[[#This Row],[Downtime/Year (Hours)]]/12</calculatedColumnFormula>
    </tableColumn>
    <tableColumn id="11" xr3:uid="{063713D2-E28C-42B5-921F-388C28DE4C19}" name="Downtime/Month (Minutes)" dataDxfId="1621">
      <calculatedColumnFormula>Table472591110119[[#This Row],[Downtime/Month (Hours)]]*60</calculatedColumnFormula>
    </tableColumn>
    <tableColumn id="4" xr3:uid="{E5C0551E-A93F-45DA-84C1-96906B9C3588}" name="Reliability Score 1" dataDxfId="1620"/>
    <tableColumn id="5" xr3:uid="{421586A2-7DEA-4F23-96E5-0AF4B4E1D285}" name="Secure Score 3 4" dataDxfId="1619"/>
    <tableColumn id="6" xr3:uid="{CCD4C791-6355-4347-A5AA-BA427BAEF668}" name="RPO (Hours)" dataDxfId="1618"/>
    <tableColumn id="7" xr3:uid="{79748DAD-B719-47B4-A832-2070A8A7B961}" name="RTO (Hours)" dataDxfId="1617"/>
  </tableColumns>
  <tableStyleInfo name="TableStyleLight4" showFirstColumn="0" showLastColumn="0" showRowStripes="1" showColumnStripes="0"/>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9" xr:uid="{95ACAF07-A914-4074-B299-33AA2C7689F1}" name="Table4725101111120" displayName="Table4725101111120" ref="D101:P110" totalsRowShown="0" headerRowDxfId="1616" dataDxfId="1615" tableBorderDxfId="1614">
  <autoFilter ref="D101:P110" xr:uid="{95ACAF07-A914-4074-B299-33AA2C7689F1}"/>
  <tableColumns count="13">
    <tableColumn id="2" xr3:uid="{D5DAC62C-C7E3-4976-8C63-98C784B005FD}" name="Service" dataDxfId="1613"/>
    <tableColumn id="14" xr3:uid="{B1C67691-F30B-4295-AD99-8EC273C2926E}" name="Type" dataDxfId="1612"/>
    <tableColumn id="3" xr3:uid="{903FF83C-98F4-4AB8-B7A4-E7EA5B188ACF}" name="SLA" dataDxfId="1611"/>
    <tableColumn id="12" xr3:uid="{C47EFE05-AFB3-4B39-9F7B-AA6F9085A4CC}" name="Downtime/Year (Days)" dataDxfId="1610">
      <calculatedColumnFormula>(365) - Table4725101111120[[#This Row],[SLA]]*(365)</calculatedColumnFormula>
    </tableColumn>
    <tableColumn id="8" xr3:uid="{C7FCC3D4-9245-471E-B1D7-CBBC1DA37A14}" name="Downtime/Year (Hours)" dataDxfId="1609">
      <calculatedColumnFormula>(24*365) - Table4725101111120[[#This Row],[SLA]]*(24*365)</calculatedColumnFormula>
    </tableColumn>
    <tableColumn id="10" xr3:uid="{A93182C6-ED5A-48D3-8F04-06923CB81FB7}" name="Downtime/Year (Minutes)" dataDxfId="1608">
      <calculatedColumnFormula>Table4725101111120[[#This Row],[Downtime/Year (Hours)]]*60</calculatedColumnFormula>
    </tableColumn>
    <tableColumn id="13" xr3:uid="{2B306A3C-1892-4CA0-BD67-C697F949A379}" name="Downtime/Month (Days)" dataDxfId="1607">
      <calculatedColumnFormula>Table4725101111120[[#This Row],[Downtime/Month (Hours)]]/24</calculatedColumnFormula>
    </tableColumn>
    <tableColumn id="9" xr3:uid="{AB72D15E-6EF3-4E5C-9A59-E8A295CAF7E6}" name="Downtime/Month (Hours)" dataDxfId="1606">
      <calculatedColumnFormula>Table4725101111120[[#This Row],[Downtime/Year (Hours)]]/12</calculatedColumnFormula>
    </tableColumn>
    <tableColumn id="11" xr3:uid="{EE9E757A-571F-4BAA-A0A6-48AF36834033}" name="Downtime/Month (Minutes)" dataDxfId="1605">
      <calculatedColumnFormula>Table4725101111120[[#This Row],[Downtime/Month (Hours)]]*60</calculatedColumnFormula>
    </tableColumn>
    <tableColumn id="4" xr3:uid="{A7B39E43-29C6-4362-BF30-AF893103AEA8}" name="Reliability Score 1" dataDxfId="1604"/>
    <tableColumn id="5" xr3:uid="{B6614D32-15FE-4747-B4AA-E71BAC0B9818}" name="Secure Score 3 4" dataDxfId="1603"/>
    <tableColumn id="6" xr3:uid="{C787F5AF-F1E7-4377-A30D-B9298CF6EFC4}" name="RPO (Hours)" dataDxfId="1602"/>
    <tableColumn id="7" xr3:uid="{4229A368-DEAB-480D-A108-AF7B06B746C1}" name="RTO (Hours)" dataDxfId="1601"/>
  </tableColumns>
  <tableStyleInfo name="TableStyleLight4" showFirstColumn="0" showLastColumn="0" showRowStripes="1" showColumnStripes="0"/>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0" xr:uid="{08FA4D46-28BE-4D35-8B75-961B444F3640}" name="Table4725102112121" displayName="Table4725102112121" ref="D116:P123" totalsRowShown="0" headerRowDxfId="1600" dataDxfId="1599" tableBorderDxfId="1598">
  <autoFilter ref="D116:P123" xr:uid="{08FA4D46-28BE-4D35-8B75-961B444F3640}"/>
  <tableColumns count="13">
    <tableColumn id="2" xr3:uid="{CF68F24C-7AF6-48BC-A5B3-4AF6536CDFD2}" name="Service" dataDxfId="1597"/>
    <tableColumn id="14" xr3:uid="{1971FFBE-A44B-4D59-9960-96B882E40F4E}" name="Type" dataDxfId="1596"/>
    <tableColumn id="3" xr3:uid="{C63A570B-95FE-408F-A00E-D47E3B7780B3}" name="SLA" dataDxfId="1595"/>
    <tableColumn id="12" xr3:uid="{8507D150-763F-4090-8DBE-68BB23D32848}" name="Downtime/Year (Days)" dataDxfId="1594">
      <calculatedColumnFormula>(365) - Table4725102112121[[#This Row],[SLA]]*(365)</calculatedColumnFormula>
    </tableColumn>
    <tableColumn id="8" xr3:uid="{DD2B158A-88EA-4BF8-8AC8-C21916AB23D6}" name="Downtime/Year (Hours)" dataDxfId="1593">
      <calculatedColumnFormula>(24*365) - Table4725102112121[[#This Row],[SLA]]*(24*365)</calculatedColumnFormula>
    </tableColumn>
    <tableColumn id="10" xr3:uid="{330E1A03-7563-4E79-8E13-D573A2DCEC30}" name="Downtime/Year (Minutes)" dataDxfId="1592">
      <calculatedColumnFormula>Table4725102112121[[#This Row],[Downtime/Year (Hours)]]*60</calculatedColumnFormula>
    </tableColumn>
    <tableColumn id="13" xr3:uid="{0030A9EF-CBBE-4B3A-91C4-008EAB577323}" name="Downtime/Month (Days)" dataDxfId="1591">
      <calculatedColumnFormula>Table4725102112121[[#This Row],[Downtime/Month (Hours)]]/24</calculatedColumnFormula>
    </tableColumn>
    <tableColumn id="9" xr3:uid="{51DE7B80-1E1E-495E-B26B-E99CB21ADDDE}" name="Downtime/Month (Hours)" dataDxfId="1590">
      <calculatedColumnFormula>Table4725102112121[[#This Row],[Downtime/Year (Hours)]]/12</calculatedColumnFormula>
    </tableColumn>
    <tableColumn id="11" xr3:uid="{2A38BE0B-25CF-41B6-A863-C1F7BB3DF285}" name="Downtime/Month (Minutes)" dataDxfId="1589">
      <calculatedColumnFormula>Table4725102112121[[#This Row],[Downtime/Month (Hours)]]*60</calculatedColumnFormula>
    </tableColumn>
    <tableColumn id="4" xr3:uid="{534846C2-3173-4E8A-B655-62E62A1D287A}" name="Reliability Score 1" dataDxfId="1588"/>
    <tableColumn id="5" xr3:uid="{3629354F-8589-44FB-8439-C1A7299482DD}" name="Secure Score 3 4" dataDxfId="1587"/>
    <tableColumn id="6" xr3:uid="{ED6515A0-54C5-4A7E-A76A-FC723D3BB052}" name="RPO (Hours)" dataDxfId="1586"/>
    <tableColumn id="7" xr3:uid="{7DAEBECE-D531-4AD5-ADCB-E1AF7D78587E}" name="RTO (Hours)" dataDxfId="1585"/>
  </tableColumns>
  <tableStyleInfo name="TableStyleLight4" showFirstColumn="0" showLastColumn="0" showRowStripes="1" showColumnStripes="0"/>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1" xr:uid="{B1350507-9CF0-405E-BB8C-E7D225E856CD}" name="Table4725103113122" displayName="Table4725103113122" ref="D129:P135" totalsRowShown="0" headerRowDxfId="1584" dataDxfId="1583" tableBorderDxfId="1582">
  <autoFilter ref="D129:P135" xr:uid="{B1350507-9CF0-405E-BB8C-E7D225E856CD}"/>
  <tableColumns count="13">
    <tableColumn id="2" xr3:uid="{74163D49-7C9A-454F-BC4E-80206480D6F9}" name="Service" dataDxfId="1581"/>
    <tableColumn id="14" xr3:uid="{83BA405A-9E0F-46E5-8ED5-AB303C61ED8D}" name="Type" dataDxfId="1580"/>
    <tableColumn id="3" xr3:uid="{994BF544-B829-498B-971B-2B98DAA2F668}" name="SLA" dataDxfId="1579"/>
    <tableColumn id="12" xr3:uid="{A6D247E1-3EF8-4AE5-8997-923942D20FA5}" name="Downtime/Year (Days)" dataDxfId="1578">
      <calculatedColumnFormula>(365) - Table4725103113122[[#This Row],[SLA]]*(365)</calculatedColumnFormula>
    </tableColumn>
    <tableColumn id="8" xr3:uid="{63FE9090-651E-4C52-84A2-13B6D2C9AA9F}" name="Downtime/Year (Hours)" dataDxfId="1577">
      <calculatedColumnFormula>(24*365) - Table4725103113122[[#This Row],[SLA]]*(24*365)</calculatedColumnFormula>
    </tableColumn>
    <tableColumn id="10" xr3:uid="{79D96C7A-0304-488A-B084-9BB47BD4E435}" name="Downtime/Year (Minutes)" dataDxfId="1576">
      <calculatedColumnFormula>Table4725103113122[[#This Row],[Downtime/Year (Hours)]]*60</calculatedColumnFormula>
    </tableColumn>
    <tableColumn id="13" xr3:uid="{06DB6899-677E-4B9F-BA4F-48F920088900}" name="Downtime/Month (Days)" dataDxfId="1575">
      <calculatedColumnFormula>Table4725103113122[[#This Row],[Downtime/Month (Hours)]]/24</calculatedColumnFormula>
    </tableColumn>
    <tableColumn id="9" xr3:uid="{EF0DCB77-A33C-42A9-AF19-2DFC89E9D55E}" name="Downtime/Month (Hours)" dataDxfId="1574">
      <calculatedColumnFormula>Table4725103113122[[#This Row],[Downtime/Year (Hours)]]/12</calculatedColumnFormula>
    </tableColumn>
    <tableColumn id="11" xr3:uid="{B6E9B734-1E9F-4FFC-A2E8-AD0D89A692C2}" name="Downtime/Month (Minutes)" dataDxfId="1573">
      <calculatedColumnFormula>Table4725103113122[[#This Row],[Downtime/Month (Hours)]]*60</calculatedColumnFormula>
    </tableColumn>
    <tableColumn id="4" xr3:uid="{ABE81EF5-9E9A-4B8D-9E7F-1233889535E7}" name="Reliability Score 1" dataDxfId="1572"/>
    <tableColumn id="5" xr3:uid="{FF4E62D7-67B7-41A2-A753-56E38264A635}" name="Secure Score 3 4" dataDxfId="1571"/>
    <tableColumn id="6" xr3:uid="{15EA089C-3BD7-4A6C-936A-FAE1E30608C6}" name="RPO (Hours)" dataDxfId="1570"/>
    <tableColumn id="7" xr3:uid="{04F06AB0-C3CE-4512-A869-4F888E3BCA1C}" name="RTO (Hours)" dataDxfId="1569"/>
  </tableColumns>
  <tableStyleInfo name="TableStyleLight4" showFirstColumn="0" showLastColumn="0" showRowStripes="1" showColumnStripes="0"/>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2" xr:uid="{0832B680-8C26-4C34-8272-09D4BB110021}" name="Table4725102105114123" displayName="Table4725102105114123" ref="D141:P148" totalsRowShown="0" headerRowDxfId="1568" dataDxfId="1567" tableBorderDxfId="1566">
  <autoFilter ref="D141:P148" xr:uid="{0832B680-8C26-4C34-8272-09D4BB110021}"/>
  <tableColumns count="13">
    <tableColumn id="2" xr3:uid="{9A28671A-F094-4C2F-8C72-5DE28007C798}" name="Service" dataDxfId="1565"/>
    <tableColumn id="14" xr3:uid="{7C96B0FC-B486-43CC-B73A-438696C6C359}" name="Type" dataDxfId="1564"/>
    <tableColumn id="3" xr3:uid="{304D3390-EB7B-4986-8C8E-63B4A725C881}" name="SLA" dataDxfId="1563"/>
    <tableColumn id="12" xr3:uid="{975397D7-1CB2-4269-858B-C80C2ADFA0D1}" name="Downtime/Year (Days)" dataDxfId="1562">
      <calculatedColumnFormula>(365) - Table4725102105114123[[#This Row],[SLA]]*(365)</calculatedColumnFormula>
    </tableColumn>
    <tableColumn id="8" xr3:uid="{09D5A2C9-6C2E-43E4-B9FF-21CBA99B9015}" name="Downtime/Year (Hours)" dataDxfId="1561">
      <calculatedColumnFormula>(24*365) - Table4725102105114123[[#This Row],[SLA]]*(24*365)</calculatedColumnFormula>
    </tableColumn>
    <tableColumn id="10" xr3:uid="{57E54889-1DBA-44FA-A238-5BC14F9A6E3E}" name="Downtime/Year (Minutes)" dataDxfId="1560">
      <calculatedColumnFormula>Table4725102105114123[[#This Row],[Downtime/Year (Hours)]]*60</calculatedColumnFormula>
    </tableColumn>
    <tableColumn id="13" xr3:uid="{B08DF943-B7DC-4D94-A22E-AE06D7FA64DC}" name="Downtime/Month (Days)" dataDxfId="1559">
      <calculatedColumnFormula>Table4725102105114123[[#This Row],[Downtime/Month (Hours)]]/24</calculatedColumnFormula>
    </tableColumn>
    <tableColumn id="9" xr3:uid="{A483EDCE-944C-4068-A964-4F3C16965905}" name="Downtime/Month (Hours)" dataDxfId="1558">
      <calculatedColumnFormula>Table4725102105114123[[#This Row],[Downtime/Year (Hours)]]/12</calculatedColumnFormula>
    </tableColumn>
    <tableColumn id="11" xr3:uid="{23562A27-1DAF-47EE-A322-BD7150901130}" name="Downtime/Month (Minutes)" dataDxfId="1557">
      <calculatedColumnFormula>Table4725102105114123[[#This Row],[Downtime/Month (Hours)]]*60</calculatedColumnFormula>
    </tableColumn>
    <tableColumn id="4" xr3:uid="{9D6683B0-C06F-45BD-BD86-AD14FBB7BA51}" name="Reliability Score 1" dataDxfId="1556"/>
    <tableColumn id="5" xr3:uid="{8E0245A1-0F96-40FB-BF6B-1635C6D5D62B}" name="Secure Score 3 4" dataDxfId="1555"/>
    <tableColumn id="6" xr3:uid="{10257F60-B7DF-499A-AC48-79DC46CC45DD}" name="RPO (Hours)" dataDxfId="1554"/>
    <tableColumn id="7" xr3:uid="{4FEE72A8-EFDE-4A48-8705-446EB428C652}" name="RTO (Hours)" dataDxfId="1553"/>
  </tableColumns>
  <tableStyleInfo name="TableStyleLight4" showFirstColumn="0" showLastColumn="0" showRowStripes="1" showColumnStripes="0"/>
</table>
</file>

<file path=xl/tables/table3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4" xr:uid="{2D08D04C-767E-4ECB-B62F-DA333ACCA148}" name="Table124" displayName="Table124" ref="D33:M41" totalsRowShown="0" headerRowDxfId="1552" dataDxfId="1551">
  <autoFilter ref="D33:M41" xr:uid="{2D08D04C-767E-4ECB-B62F-DA333ACCA148}"/>
  <sortState xmlns:xlrd2="http://schemas.microsoft.com/office/spreadsheetml/2017/richdata2" ref="D34:M41">
    <sortCondition ref="E33:E41"/>
  </sortState>
  <tableColumns count="10">
    <tableColumn id="1" xr3:uid="{72AEE02A-D373-4478-8994-CB8607A239D0}" name="[Application | Business Function]" dataDxfId="1550"/>
    <tableColumn id="2" xr3:uid="{A29142EA-B20E-4815-AA8E-3BF5DB789C0A}" name="SLA" dataDxfId="1549"/>
    <tableColumn id="3" xr3:uid="{540583E9-58BC-4E78-98F1-A2E173C0C838}" name="Downtime/Year (Days)" dataDxfId="1548"/>
    <tableColumn id="4" xr3:uid="{C750B6D5-7E10-480A-8CBD-207A0829641F}" name="Downtime/Year (Hours)" dataDxfId="1547"/>
    <tableColumn id="5" xr3:uid="{878F1BFB-662A-4A34-BDD9-2589F6CDAAE6}" name="Downtime/Year (Minutes)" dataDxfId="1546"/>
    <tableColumn id="6" xr3:uid="{BC4DD366-FD05-4434-8A51-5B9F0B48492B}" name="Downtime/Month (Days)" dataDxfId="1545"/>
    <tableColumn id="7" xr3:uid="{7505397E-73BD-4F59-B1C7-E7592A50F4DC}" name="Downtime/Month (Hours)" dataDxfId="1544"/>
    <tableColumn id="8" xr3:uid="{D916C70F-4F5A-4CCE-88C5-9AB5D070C99E}" name="Downtime/Month (Minutes)" dataDxfId="1543"/>
    <tableColumn id="9" xr3:uid="{D1CCE6DC-FF12-4615-94CA-A022ADB83F53}" name="Reliability Score 1" dataDxfId="1542"/>
    <tableColumn id="10" xr3:uid="{1E5FC170-4B06-4F46-91C5-495DC3511AB4}" name="Secure Score 3 4" dataDxfId="1541"/>
  </tableColumns>
  <tableStyleInfo name="TableStyleLight4" showFirstColumn="0" showLastColumn="0" showRowStripes="1" showColumnStripes="0"/>
</table>
</file>

<file path=xl/tables/table3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 xr:uid="{67B6A43E-E975-4A58-B222-8B212253AE2D}" name="Table85919325" displayName="Table85919325" ref="E69:T190" totalsRowShown="0" headerRowDxfId="1502" tableBorderDxfId="1501" totalsRowBorderDxfId="1500">
  <autoFilter ref="E69:T190" xr:uid="{4DF7D870-9A88-40E7-8290-0B0ECB06BFF5}"/>
  <tableColumns count="16">
    <tableColumn id="14" xr3:uid="{2F2A29AB-E908-4F6B-A9E0-04D5F14F42D3}" name="Requirements 4" dataDxfId="1499"/>
    <tableColumn id="1" xr3:uid="{7C619A26-3848-4CD8-B653-CE19E88DF9DA}" name="Consideration"/>
    <tableColumn id="2" xr3:uid="{5B0EAA2C-B5D2-46B6-BEB6-02DF15A66222}" name="Azure AD"/>
    <tableColumn id="3" xr3:uid="{8D6A1FAC-0D56-4EF6-BE45-0EC3CB89F47C}" name="Azure DNS (Public)"/>
    <tableColumn id="15" xr3:uid="{6F85529D-C465-4312-88F8-1A90F38C3844}" name="Azure Front Door" dataDxfId="1498"/>
    <tableColumn id="16" xr3:uid="{38BADE25-0667-4C95-8A8F-FE111B42B611}" name="Azure Front Door Web Application Firewall" dataDxfId="1497"/>
    <tableColumn id="4" xr3:uid="{A4169F06-B929-4CA4-B751-1FFB3C088B77}" name="App Service Plan"/>
    <tableColumn id="5" xr3:uid="{F25103DC-A5E7-4FF1-93D2-761BBE7FDD93}" name="Azure Service Bus"/>
    <tableColumn id="6" xr3:uid="{E1FCF739-FF59-47ED-8423-EB7D795A7FAF}" name="Azure Function App"/>
    <tableColumn id="7" xr3:uid="{E53BCE8F-CD8E-407F-922C-9406F62A8E0C}" name="Azure Redis Cache"/>
    <tableColumn id="8" xr3:uid="{8DEDD96F-FFFE-4279-8226-925B02AE43F9}" name="Azure SQL"/>
    <tableColumn id="9" xr3:uid="{25F36656-9EB3-4A4D-84B5-EEF309C7C0C3}" name="Cosmos DB (NoSQL)"/>
    <tableColumn id="10" xr3:uid="{CADA1F86-6595-46E7-8B68-1917393DBAED}" name="Warehouse Inventory Management"/>
    <tableColumn id="11" xr3:uid="{000E89F7-CA19-4D86-8245-24E5A5183F72}" name="Order Fulfillment"/>
    <tableColumn id="12" xr3:uid="{19BA277A-FECD-4088-B4F0-DD1EE8FD5A02}" name="Status"/>
    <tableColumn id="13" xr3:uid="{63853E07-F5B6-4895-806C-97E672135F63}" name="Gap Analysis" dataDxfId="1496"/>
  </tableColumns>
  <tableStyleInfo name="TableStyleLight4"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2" xr:uid="{198FD4E3-CA59-4093-A947-9250F6B0774A}" name="Table301353" displayName="Table301353" ref="D16:BR26" totalsRowShown="0" headerRowDxfId="1992" dataDxfId="1991">
  <autoFilter ref="D16:BR26" xr:uid="{F817BAC7-D390-4ED6-8111-C92CD97A730A}"/>
  <sortState xmlns:xlrd2="http://schemas.microsoft.com/office/spreadsheetml/2017/richdata2" ref="D17:T26">
    <sortCondition ref="D16:D26"/>
  </sortState>
  <tableColumns count="67">
    <tableColumn id="1" xr3:uid="{A1BEF576-5F3A-43FD-B9C0-EE22091F57D6}" name="Tier" dataDxfId="1990"/>
    <tableColumn id="2" xr3:uid="{D1DA8FF2-ACBE-4FB7-87EC-C12DC4644475}" name="Criticality1" dataDxfId="1989"/>
    <tableColumn id="12" xr3:uid="{3A410CCA-19DA-424B-A73A-A1130F9F7794}" name="Commitment Level" dataDxfId="1988"/>
    <tableColumn id="38" xr3:uid="{E4D213A3-9195-445F-9E8C-FC1AAD6AFB7E}" name="SLA" dataDxfId="1987"/>
    <tableColumn id="46" xr3:uid="{CAD83223-397B-462C-AD42-CA48657335E0}" name="MTD" dataDxfId="1986"/>
    <tableColumn id="25" xr3:uid="{469CB2AD-1C44-4280-8C7B-FC2EFDAB4F03}" name="RTO" dataDxfId="1985"/>
    <tableColumn id="13" xr3:uid="{DB0AA2C5-C402-4A8A-AD11-23AE5B2497C3}" name="RPO" dataDxfId="1984"/>
    <tableColumn id="6" xr3:uid="{C1E39CA0-5F2B-427F-BAEC-6147020106D3}" name="Test Environment" dataDxfId="1983"/>
    <tableColumn id="14" xr3:uid="{F0915F04-F67C-4158-AE67-5E22D3CF2780}" name="BCDR Response Plan" dataDxfId="1982"/>
    <tableColumn id="26" xr3:uid="{E8DEA0FC-0403-44B2-B7E3-A56C3F99FEAC}" name="Business Impact Analysis" dataDxfId="1981"/>
    <tableColumn id="27" xr3:uid="{062B1352-DDCD-449B-8421-4C753BC52CB3}" name="Contingency Plan" dataDxfId="1980"/>
    <tableColumn id="55" xr3:uid="{2092C074-66DF-41B8-900D-1480C5CCC0ED}" name="Fault Tree Analysis" dataDxfId="1979"/>
    <tableColumn id="31" xr3:uid="{E8CBA74D-D399-47A4-9E16-A408353E252E}" name="Outage Communication Plan" dataDxfId="1978"/>
    <tableColumn id="9" xr3:uid="{FA867F56-6941-4D0C-847F-BFA8C85C11D9}" name="Support Hours" dataDxfId="1977"/>
    <tableColumn id="45" xr3:uid="{36378AAB-4FB0-4E48-8893-2763E0C284E5}" name="Cyber Liability Insurance" dataDxfId="1976"/>
    <tableColumn id="59" xr3:uid="{34BE64C8-7D88-4CC2-AFA6-427266381F9F}" name="BCP" dataDxfId="1975"/>
    <tableColumn id="3" xr3:uid="{9AF9071C-44DD-44B1-8980-62F91ECA6CD3}" name="Hybrid Connectivity" dataDxfId="1974"/>
    <tableColumn id="56" xr3:uid="{F46A47E9-933B-429F-90EA-0A02F689C2A2}" name="Network" dataDxfId="1973"/>
    <tableColumn id="57" xr3:uid="{AD1567D4-3A80-4440-8BCE-B1A0142F2DA9}" name="Availability Architecture" dataDxfId="1972"/>
    <tableColumn id="58" xr3:uid="{3661EA8E-F822-4E36-8BC1-E3A67F0B675A}" name="Application Logic" dataDxfId="1971"/>
    <tableColumn id="5" xr3:uid="{90F81A72-0E95-4F68-9172-BCC7052D85D5}" name="Backup Retention Period" dataDxfId="1970"/>
    <tableColumn id="17" xr3:uid="{DA4E8A95-C30D-4F29-928A-8B64E017A111}" name="Recovery Architecture" dataDxfId="1969"/>
    <tableColumn id="88" xr3:uid="{BBCC3700-2542-4B52-A473-FEAD2A739798}" name="Cross Region Replication" dataDxfId="1968"/>
    <tableColumn id="62" xr3:uid="{FE858DC0-46B0-4364-91B9-DCE44C78248B}" name="Deploy as Code" dataDxfId="1967"/>
    <tableColumn id="61" xr3:uid="{85B3275C-EC22-40D7-B366-7829D2533038}" name="Configure as Code" dataDxfId="1966"/>
    <tableColumn id="64" xr3:uid="{4292ECB0-3358-4B40-8160-B00CEE9C89C2}" name="Configuration Update as Code" dataDxfId="1965"/>
    <tableColumn id="63" xr3:uid="{27640FBF-7015-409C-9AB1-B9B2D8339A99}" name="Application Update as Code" dataDxfId="1964"/>
    <tableColumn id="60" xr3:uid="{49CA62E9-6A5C-4978-AF9E-EE6CAC1246BA}" name="Deployment Slots" dataDxfId="1963"/>
    <tableColumn id="77" xr3:uid="{26180351-C28C-41F5-B15F-F3317A07707B}" name="Application Insights: Availability Tests" dataDxfId="1962"/>
    <tableColumn id="78" xr3:uid="{1259CB6D-66B5-4AD0-A13C-0835D1A90542}" name="Application Insights: Live Metrics" dataDxfId="1961"/>
    <tableColumn id="73" xr3:uid="{710E5BF6-70DB-4230-AF28-05FEC3360BB3}" name="Application Insights: Usage" dataDxfId="1960"/>
    <tableColumn id="74" xr3:uid="{EE69EFE9-301C-490E-889A-E852F3C1067A}" name="Application Insights: Smart Detection" dataDxfId="1959"/>
    <tableColumn id="75" xr3:uid="{AE5887CF-3944-475F-B21E-6BA675421855}" name="Service Health" dataDxfId="1958"/>
    <tableColumn id="76" xr3:uid="{50087D8F-CB91-43CA-8016-43552D249A4B}" name="Resource Health" dataDxfId="1957"/>
    <tableColumn id="15" xr3:uid="{DDB2895F-7039-47A0-B92A-BC4CDBEA4FC9}" name="Planned Maintenance" dataDxfId="1956"/>
    <tableColumn id="69" xr3:uid="{8C8C1CB5-84E4-4A25-89E3-2DFDF44A053A}" name="Network Monitoring" dataDxfId="1955"/>
    <tableColumn id="70" xr3:uid="{1F8A9F23-D190-43DD-B2D3-F28B29244E2E}" name="Performance Metrics" dataDxfId="1954"/>
    <tableColumn id="71" xr3:uid="{49A4A661-1E01-4AD2-913A-0E314EF664EC}" name="Change Analysis" dataDxfId="1953"/>
    <tableColumn id="72" xr3:uid="{D799C0FE-4064-463F-8175-964AC497F86F}" name="Activity Audit Logs" dataDxfId="1952"/>
    <tableColumn id="67" xr3:uid="{E61A97FB-D787-4B52-B6A1-4F291C202DBC}" name="Diagnostic Logs" dataDxfId="1951"/>
    <tableColumn id="68" xr3:uid="{ABC5E487-31EA-4841-8EAF-BF5063482CFF}" name="Application Workbook and/or Dashboard" dataDxfId="1950"/>
    <tableColumn id="65" xr3:uid="{F1F1C23B-D7C6-4103-80BC-0D7B15BF154C}" name="Autoscale" dataDxfId="1949"/>
    <tableColumn id="66" xr3:uid="{1BB07688-EE59-4D14-9308-4402F63DBCDC}" name="Alerting and Notification" dataDxfId="1948"/>
    <tableColumn id="85" xr3:uid="{6F97C0F5-C291-4180-A456-E4ABB933E08B}" name="Microsoft Defender for Cloud: Regulatory Compliance Monitoring" dataDxfId="1947"/>
    <tableColumn id="16" xr3:uid="{2C02CE3F-E71F-4557-926F-69C2871682C9}" name="Network Security:_x000a_DDoS Protection (NS-5)" dataDxfId="1946"/>
    <tableColumn id="86" xr3:uid="{B174C99A-843E-40C1-ACD3-A32C0C954807}" name="Identity Management (IM-all)" dataDxfId="1945"/>
    <tableColumn id="87" xr3:uid="{76B6342B-F1F5-468C-ACF0-FFDC8D82D4BE}" name="Privileged Access: Determine Access Process for Support (PA-8)" dataDxfId="1944"/>
    <tableColumn id="82" xr3:uid="{BDABC94A-8BFA-4935-B8A2-CB372529E7B8}" name="Data Protection (DP-all)" dataDxfId="1943"/>
    <tableColumn id="83" xr3:uid="{6EB2D8B2-720F-448C-B79B-C4FC7AEED95B}" name="Logging and Threat Detection: Enable Threat Detection Capabilities (LT-1) Microsoft Sentinel" dataDxfId="1942"/>
    <tableColumn id="84" xr3:uid="{7478BB75-F0BB-42EA-B271-908AD77CF43B}" name="Logging and Threat Detection: Enable Threat Detection Capabilities (LT-1) Microsoft Defender for Cloud" dataDxfId="1941"/>
    <tableColumn id="81" xr3:uid="{1AB5B7F6-F7D4-4E43-8AEB-FEF34656925B}" name="Posture and Vulnerability Management: Rapidly and Automatically Remediate Vulnerabilities (PV-6) Update Management" dataDxfId="1940"/>
    <tableColumn id="80" xr3:uid="{947525A7-86B8-4CBB-8157-3625CFD55897}" name="Backup and Recovery: Protect Backup and Recovery Data (BR-2) Ransomware" dataDxfId="1939"/>
    <tableColumn id="79" xr3:uid="{AB3D86AE-5BD0-496F-9FB2-1A1D041FD9ED}" name="Backup and Recovery: Protect Backup and Recovery Data (BR-2) Immutable Storage" dataDxfId="1938"/>
    <tableColumn id="10" xr3:uid="{50029E1C-5C55-483F-9C86-A1D0F9B1A2D3}" name="Production Redeployment" dataDxfId="1937"/>
    <tableColumn id="29" xr3:uid="{0C58A1DB-CABF-4F30-981D-362FD12E4ECF}" name="Failover" dataDxfId="1936"/>
    <tableColumn id="30" xr3:uid="{A8950018-1E64-4661-985F-E6E08593FA3A}" name="Recovery" dataDxfId="1935"/>
    <tableColumn id="21" xr3:uid="{FDA1C2BA-4704-41C2-9884-47CC3F980194}" name="Unit" dataDxfId="1934"/>
    <tableColumn id="22" xr3:uid="{6FBB135C-39F0-4D27-9255-1F2B1D89ED54}" name="Smoke" dataDxfId="1933"/>
    <tableColumn id="23" xr3:uid="{5C6B255A-F751-405E-90A6-9DE78DB84D46}" name="UI" dataDxfId="1932"/>
    <tableColumn id="24" xr3:uid="{6E605E00-D6BD-4BC7-938F-AE3B0D018D8C}" name="Load" dataDxfId="1931"/>
    <tableColumn id="19" xr3:uid="{0359B8A1-4291-45C8-B19D-A5E4C27C3BCA}" name="Stress" dataDxfId="1930"/>
    <tableColumn id="20" xr3:uid="{E9FB6469-BF89-4A51-9A48-800BD3C9057C}" name="Performance" dataDxfId="1929"/>
    <tableColumn id="11" xr3:uid="{3C2A0788-C326-4B8E-ACCD-1D3D5657483A}" name="Capacity" dataDxfId="1928"/>
    <tableColumn id="18" xr3:uid="{FD006D22-B933-49DF-AE41-E46ECFD22C95}" name="Chaos" dataDxfId="1927"/>
    <tableColumn id="8" xr3:uid="{46F60052-9D8A-4C73-8424-F13785BF6B7C}" name="Penetration" dataDxfId="1926"/>
    <tableColumn id="7" xr3:uid="{71C69395-4903-4479-8B32-0E20E2133FAA}" name="User Acceptance" dataDxfId="1925"/>
    <tableColumn id="4" xr3:uid="{094C5F05-6DE6-4F93-AD76-889773E86EF8}" name="Frequency" dataDxfId="1924"/>
  </tableColumns>
  <tableStyleInfo name="TableStyleLight4" showFirstColumn="0" showLastColumn="0" showRowStripes="1" showColumnStripes="0"/>
</table>
</file>

<file path=xl/tables/table4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7" xr:uid="{A0F1CF6A-98D0-45E5-803D-4135519277CD}" name="Table47258588" displayName="Table47258588" ref="D64:P76" totalsRowShown="0" headerRowDxfId="1413" dataDxfId="1412">
  <autoFilter ref="D64:P76" xr:uid="{A0F1CF6A-98D0-45E5-803D-4135519277CD}"/>
  <tableColumns count="13">
    <tableColumn id="2" xr3:uid="{D408C190-6F72-466C-93A7-A39C91767A16}" name="Component" dataDxfId="1411"/>
    <tableColumn id="14" xr3:uid="{1C99F138-6391-4985-A054-0AACBD9F12BC}" name="Type" dataDxfId="1410"/>
    <tableColumn id="3" xr3:uid="{E7ED40C2-6E0F-494D-A2E8-1D09F903190F}" name="SLA" dataDxfId="1409"/>
    <tableColumn id="12" xr3:uid="{62D15717-6FB3-4272-806C-8A844FE652A6}" name="Downtime/Year (Days)" dataDxfId="1408">
      <calculatedColumnFormula>(365) - Table47258588[[#This Row],[SLA]]*(365)</calculatedColumnFormula>
    </tableColumn>
    <tableColumn id="8" xr3:uid="{C69BB0C6-05F8-4AB1-89C0-7523CE040231}" name="Downtime/Year (Hours)" dataDxfId="1407">
      <calculatedColumnFormula>(24*365) - Table47258588[[#This Row],[SLA]]*(24*365)</calculatedColumnFormula>
    </tableColumn>
    <tableColumn id="10" xr3:uid="{7F334324-CF22-412E-AC07-C72559CC2E36}" name="Downtime/Year (Minutes)" dataDxfId="1406">
      <calculatedColumnFormula>Table47258588[[#This Row],[Downtime/Year (Hours)]]*60</calculatedColumnFormula>
    </tableColumn>
    <tableColumn id="13" xr3:uid="{3C68E4EB-8D6B-4795-88C4-0CAB9A623018}" name="Downtime/Month (Days)" dataDxfId="1405">
      <calculatedColumnFormula>Table47258588[[#This Row],[Downtime/Month (Hours)]]/24</calculatedColumnFormula>
    </tableColumn>
    <tableColumn id="9" xr3:uid="{621F7FBD-FA75-4352-961C-8DBC21CC6F61}" name="Downtime/Month (Hours)" dataDxfId="1404">
      <calculatedColumnFormula>Table47258588[[#This Row],[Downtime/Year (Hours)]]/12</calculatedColumnFormula>
    </tableColumn>
    <tableColumn id="11" xr3:uid="{D334C68C-CC39-4F52-8CE8-7A29B822C413}" name="Downtime/Month (Minutes)" dataDxfId="1403">
      <calculatedColumnFormula>Table47258588[[#This Row],[Downtime/Month (Hours)]]*60</calculatedColumnFormula>
    </tableColumn>
    <tableColumn id="4" xr3:uid="{023541AD-E96C-4C1B-A084-9DC2C8F52DF8}" name="Reliability Score 1" dataDxfId="1402"/>
    <tableColumn id="5" xr3:uid="{0216ED26-BCB1-4E57-9FEE-B54221195C92}" name="Secure Score 3 4" dataDxfId="1401"/>
    <tableColumn id="6" xr3:uid="{D5D3D75D-3683-45CC-B8A0-C7C3AB04B93B}" name="RPO (Hours)" dataDxfId="1400"/>
    <tableColumn id="7" xr3:uid="{D293E06A-037C-4490-9BBA-231560E2D8D9}" name="RTO (Hours)" dataDxfId="1399"/>
  </tableColumns>
  <tableStyleInfo name="TableStyleLight4" showFirstColumn="0" showLastColumn="0" showRowStripes="1" showColumnStripes="0"/>
</table>
</file>

<file path=xl/tables/table4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8" xr:uid="{2873B2DE-0BBA-4AD9-8911-300A6F0977BB}" name="Table8289" displayName="Table8289" ref="E33:N36" totalsRowShown="0" headerRowDxfId="1398" dataDxfId="1397">
  <autoFilter ref="E33:N36" xr:uid="{2873B2DE-0BBA-4AD9-8911-300A6F0977BB}"/>
  <tableColumns count="10">
    <tableColumn id="1" xr3:uid="{351151E1-5E82-47BB-B63E-ECB7F1CAC39D}" name="Summary" dataDxfId="1396"/>
    <tableColumn id="2" xr3:uid="{D39E1DA5-6061-41D8-A261-20A607EF2C6B}" name="Composite SLA" dataDxfId="1395">
      <calculatedColumnFormula>F75-F33</calculatedColumnFormula>
    </tableColumn>
    <tableColumn id="3" xr3:uid="{BF5032C9-A660-4830-9350-B3237CB7BEFA}" name="Downtime/Year (Days)" dataDxfId="1394">
      <calculatedColumnFormula>G33-G75</calculatedColumnFormula>
    </tableColumn>
    <tableColumn id="4" xr3:uid="{6A7E4576-87A4-423A-9C9B-F1D8DBCF87C0}" name="Downtime/Year (Hours)" dataDxfId="1393">
      <calculatedColumnFormula>H33-H75</calculatedColumnFormula>
    </tableColumn>
    <tableColumn id="5" xr3:uid="{447F1F2F-0052-4CDC-83B4-0C1BCB53FC63}" name="Downtime/Year (Minutes)" dataDxfId="1392">
      <calculatedColumnFormula>I33-I75</calculatedColumnFormula>
    </tableColumn>
    <tableColumn id="6" xr3:uid="{D802673D-CD16-418C-B152-658930809B81}" name="Downtime/Month (Days)" dataDxfId="1391">
      <calculatedColumnFormula>J33-J75</calculatedColumnFormula>
    </tableColumn>
    <tableColumn id="7" xr3:uid="{1CCF7C6B-91AD-4730-A065-3D805F97BF42}" name="Downtime/Month (Hours)" dataDxfId="1390">
      <calculatedColumnFormula>K33-K75</calculatedColumnFormula>
    </tableColumn>
    <tableColumn id="8" xr3:uid="{1B6F340D-89AA-4F1C-9FE0-8A9478978CB5}" name="Downtime/Month (Minutes)" dataDxfId="1389">
      <calculatedColumnFormula>L33-L75</calculatedColumnFormula>
    </tableColumn>
    <tableColumn id="9" xr3:uid="{B2563F7A-ED87-4834-9D61-FBEF20634674}" name="Composite Reliability" dataDxfId="1388">
      <calculatedColumnFormula>M33-M75</calculatedColumnFormula>
    </tableColumn>
    <tableColumn id="10" xr3:uid="{F2DAEF1D-1B87-4B9E-9A83-1009A5C40E60}" name="Composite _x000a_Secure Score" dataDxfId="1387">
      <calculatedColumnFormula>N33-N75</calculatedColumnFormula>
    </tableColumn>
  </tableColumns>
  <tableStyleInfo name="TableStyleLight4" showFirstColumn="0" showLastColumn="0" showRowStripes="1" showColumnStripes="0"/>
</table>
</file>

<file path=xl/tables/table4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9" xr:uid="{09F8E935-3030-426C-A1AE-CD22863DE7B3}" name="Table472590" displayName="Table472590" ref="D47:P58" totalsRowShown="0" headerRowDxfId="1386" dataDxfId="1385">
  <autoFilter ref="D47:P58" xr:uid="{09F8E935-3030-426C-A1AE-CD22863DE7B3}"/>
  <tableColumns count="13">
    <tableColumn id="2" xr3:uid="{557023C5-584C-4653-9E8A-E313E51CFF32}" name="Component" dataDxfId="1384"/>
    <tableColumn id="14" xr3:uid="{9046DECE-F30B-431D-88CD-43F150A397A5}" name="Type" dataDxfId="1383"/>
    <tableColumn id="3" xr3:uid="{465F1169-2E73-45F6-A8B5-89F338636323}" name="SLA" dataDxfId="1382"/>
    <tableColumn id="12" xr3:uid="{67FA4D4C-435D-41AB-B729-9779C0DA1FD9}" name="Downtime/Year (Days)" dataDxfId="1381">
      <calculatedColumnFormula>(365) - Table472590[[#This Row],[SLA]]*(365)</calculatedColumnFormula>
    </tableColumn>
    <tableColumn id="8" xr3:uid="{CC32790D-A294-4340-8A3F-A74C4777AEF7}" name="Downtime/Year (Hours)" dataDxfId="1380">
      <calculatedColumnFormula>(24*365) - Table472590[[#This Row],[SLA]]*(24*365)</calculatedColumnFormula>
    </tableColumn>
    <tableColumn id="10" xr3:uid="{69019E0D-92E9-4218-8FDD-D54483E58678}" name="Downtime/Year (Minutes)" dataDxfId="1379">
      <calculatedColumnFormula>Table472590[[#This Row],[Downtime/Year (Hours)]]*60</calculatedColumnFormula>
    </tableColumn>
    <tableColumn id="13" xr3:uid="{1799936B-1BAB-4924-B4C7-BEE52C8EEFA8}" name="Downtime/Month (Days)" dataDxfId="1378">
      <calculatedColumnFormula>Table472590[[#This Row],[Downtime/Month (Hours)]]/24</calculatedColumnFormula>
    </tableColumn>
    <tableColumn id="9" xr3:uid="{32D80D4C-1E2E-4B77-BA77-501BBB79C5B4}" name="Downtime/Month (Hours)" dataDxfId="1377">
      <calculatedColumnFormula>Table472590[[#This Row],[Downtime/Year (Hours)]]/12</calculatedColumnFormula>
    </tableColumn>
    <tableColumn id="11" xr3:uid="{45CCA1E0-7081-40F1-8A81-C124D6624A87}" name="Downtime/Month (Minutes)" dataDxfId="1376">
      <calculatedColumnFormula>Table472590[[#This Row],[Downtime/Month (Hours)]]*60</calculatedColumnFormula>
    </tableColumn>
    <tableColumn id="4" xr3:uid="{57AA0606-52F9-451A-895B-45A5D62D31A2}" name="Reliability Score 1" dataDxfId="1375"/>
    <tableColumn id="5" xr3:uid="{58B11D1D-6E4A-448C-8529-8A6F71790AB2}" name="Secure Score 3 4" dataDxfId="1374"/>
    <tableColumn id="6" xr3:uid="{C793BFB7-96B9-419E-BCAF-E8E8754098E3}" name="RPO (Hours)" dataDxfId="1373"/>
    <tableColumn id="7" xr3:uid="{76A6F20B-CE12-42EB-910D-6CC524A2286A}" name="RTO (Hours)" dataDxfId="1372"/>
  </tableColumns>
  <tableStyleInfo name="TableStyleLight4" showFirstColumn="0" showLastColumn="0" showRowStripes="1" showColumnStripes="0"/>
</table>
</file>

<file path=xl/tables/table4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8" xr:uid="{483BC85A-DEC3-4D9B-AD78-19887CF8B437}" name="Table47258588109" displayName="Table47258588109" ref="D108:P115" totalsRowShown="0" headerRowDxfId="1371" dataDxfId="1370">
  <autoFilter ref="D108:P115" xr:uid="{483BC85A-DEC3-4D9B-AD78-19887CF8B437}"/>
  <tableColumns count="13">
    <tableColumn id="2" xr3:uid="{56328047-6D05-48F3-B82D-59D7241E98B6}" name="Component" dataDxfId="1369"/>
    <tableColumn id="14" xr3:uid="{91388B42-407C-45BE-BD59-7B8A5ADC20D9}" name="Type" dataDxfId="1368"/>
    <tableColumn id="3" xr3:uid="{CD7640E8-1E17-40A1-BBE7-6EF66AF6DC77}" name="SLA" dataDxfId="1367"/>
    <tableColumn id="12" xr3:uid="{0328459E-DE97-4D08-8A75-4833BEF9C1F6}" name="Downtime/Year (Days)" dataDxfId="1366">
      <calculatedColumnFormula>(365) - Table47258588109[[#This Row],[SLA]]*(365)</calculatedColumnFormula>
    </tableColumn>
    <tableColumn id="8" xr3:uid="{154A25F0-23E0-4E43-AD2C-EC224A03494B}" name="Downtime/Year (Hours)" dataDxfId="1365">
      <calculatedColumnFormula>(24*365) - Table47258588109[[#This Row],[SLA]]*(24*365)</calculatedColumnFormula>
    </tableColumn>
    <tableColumn id="10" xr3:uid="{9DF7ED8C-220E-4074-AC4C-2AA94D153D5D}" name="Downtime/Year (Minutes)" dataDxfId="1364">
      <calculatedColumnFormula>Table47258588109[[#This Row],[Downtime/Year (Hours)]]*60</calculatedColumnFormula>
    </tableColumn>
    <tableColumn id="13" xr3:uid="{5B4D4987-F528-4E44-8CDD-411C243A7E7B}" name="Downtime/Month (Days)" dataDxfId="1363">
      <calculatedColumnFormula>Table47258588109[[#This Row],[Downtime/Month (Hours)]]/24</calculatedColumnFormula>
    </tableColumn>
    <tableColumn id="9" xr3:uid="{30DF33DA-E795-4A5F-B5F2-624E0624E8D3}" name="Downtime/Month (Hours)" dataDxfId="1362">
      <calculatedColumnFormula>Table47258588109[[#This Row],[Downtime/Year (Hours)]]/12</calculatedColumnFormula>
    </tableColumn>
    <tableColumn id="11" xr3:uid="{342C3AF1-7FA3-41E2-930C-97C8DDA54FE7}" name="Downtime/Month (Minutes)" dataDxfId="1361">
      <calculatedColumnFormula>Table47258588109[[#This Row],[Downtime/Month (Hours)]]*60</calculatedColumnFormula>
    </tableColumn>
    <tableColumn id="4" xr3:uid="{0D919ABF-F6EA-40B8-8C2F-A0C7A976BA7D}" name="Reliability Score 1" dataDxfId="1360"/>
    <tableColumn id="5" xr3:uid="{2CED326D-CE79-42D9-93E0-20C764335EF0}" name="Secure Score 3 4" dataDxfId="1359"/>
    <tableColumn id="6" xr3:uid="{C613C340-0B56-4767-90A8-A339DE352C5C}" name="RPO (Hours)" dataDxfId="1358"/>
    <tableColumn id="7" xr3:uid="{7062516F-08FE-40E0-9F71-E2BA209D2369}" name="RTO (Hours)" dataDxfId="1357"/>
  </tableColumns>
  <tableStyleInfo name="TableStyleLight4" showFirstColumn="0" showLastColumn="0" showRowStripes="1" showColumnStripes="0"/>
</table>
</file>

<file path=xl/tables/table4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9" xr:uid="{BC153261-E2E1-4082-BB05-04A842F46357}" name="Table8289110" displayName="Table8289110" ref="E82:N85" totalsRowShown="0" headerRowDxfId="1356" dataDxfId="1355">
  <autoFilter ref="E82:N85" xr:uid="{BC153261-E2E1-4082-BB05-04A842F46357}"/>
  <tableColumns count="10">
    <tableColumn id="1" xr3:uid="{854B807F-FF12-413C-8146-5D6AC880CE88}" name="Summary" dataDxfId="1354"/>
    <tableColumn id="2" xr3:uid="{BD05F01B-569B-48A1-99FA-3059F37F031A}" name="Composite SLA" dataDxfId="1353">
      <calculatedColumnFormula>F114-F82</calculatedColumnFormula>
    </tableColumn>
    <tableColumn id="3" xr3:uid="{F8F04E96-28ED-4303-8BB1-883098185C16}" name="Downtime/Year (Days)" dataDxfId="1352">
      <calculatedColumnFormula>G82-G114</calculatedColumnFormula>
    </tableColumn>
    <tableColumn id="4" xr3:uid="{1A2E880A-C9BA-4ACE-A289-BC30F3E12D38}" name="Downtime/Year (Hours)" dataDxfId="1351">
      <calculatedColumnFormula>H82-H114</calculatedColumnFormula>
    </tableColumn>
    <tableColumn id="5" xr3:uid="{7FF2C91B-ADD3-46FA-B3E7-F62AC269A6E9}" name="Downtime/Year (Minutes)" dataDxfId="1350">
      <calculatedColumnFormula>I82-I114</calculatedColumnFormula>
    </tableColumn>
    <tableColumn id="6" xr3:uid="{FDA0CF58-1433-4B04-97B5-1BCD484F89C0}" name="Downtime/Month (Days)" dataDxfId="1349">
      <calculatedColumnFormula>J82-J114</calculatedColumnFormula>
    </tableColumn>
    <tableColumn id="7" xr3:uid="{5C3DAF9D-B494-44B4-91E4-55DA137DE2E3}" name="Downtime/Month (Hours)" dataDxfId="1348">
      <calculatedColumnFormula>K82-K114</calculatedColumnFormula>
    </tableColumn>
    <tableColumn id="8" xr3:uid="{331B3C7F-9809-4BF4-B70C-33F1DEB0DD05}" name="Downtime/Month (Minutes)" dataDxfId="1347">
      <calculatedColumnFormula>L82-L114</calculatedColumnFormula>
    </tableColumn>
    <tableColumn id="9" xr3:uid="{97C0FD70-3793-4F25-AA7E-0809B4231BA0}" name="Composite Reliability" dataDxfId="1346">
      <calculatedColumnFormula>M82-M114</calculatedColumnFormula>
    </tableColumn>
    <tableColumn id="10" xr3:uid="{CC274D4A-745A-4644-B26A-2C8208C47A99}" name="Composite _x000a_Secure Score" dataDxfId="1345">
      <calculatedColumnFormula>N82-N114</calculatedColumnFormula>
    </tableColumn>
  </tableColumns>
  <tableStyleInfo name="TableStyleLight4" showFirstColumn="0" showLastColumn="0" showRowStripes="1" showColumnStripes="0"/>
</table>
</file>

<file path=xl/tables/table4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0" xr:uid="{A401F7FD-442D-4556-85AC-DB5EA7A0C084}" name="Table472590111" displayName="Table472590111" ref="D96:P102" totalsRowShown="0" headerRowDxfId="1344" dataDxfId="1343">
  <autoFilter ref="D96:P102" xr:uid="{A401F7FD-442D-4556-85AC-DB5EA7A0C084}"/>
  <tableColumns count="13">
    <tableColumn id="2" xr3:uid="{E7D57382-1F21-4AC8-87BF-D640559A318D}" name="Component" dataDxfId="1342"/>
    <tableColumn id="14" xr3:uid="{79B49A0C-1771-41D6-B704-9E52C5CD9C29}" name="Type" dataDxfId="1341"/>
    <tableColumn id="3" xr3:uid="{9508A6C7-D074-43D2-BA21-6E2E1C1DA0D5}" name="SLA" dataDxfId="1340"/>
    <tableColumn id="12" xr3:uid="{EA0FED31-341D-4D79-BD2B-6B890B81F46F}" name="Downtime/Year (Days)" dataDxfId="1339">
      <calculatedColumnFormula>(365) - Table472590111[[#This Row],[SLA]]*(365)</calculatedColumnFormula>
    </tableColumn>
    <tableColumn id="8" xr3:uid="{6C3E9EA3-227F-4313-9FB8-B78A850B25C0}" name="Downtime/Year (Hours)" dataDxfId="1338">
      <calculatedColumnFormula>(24*365) - Table472590111[[#This Row],[SLA]]*(24*365)</calculatedColumnFormula>
    </tableColumn>
    <tableColumn id="10" xr3:uid="{10B1BDED-1224-4992-9500-C7E0201F889D}" name="Downtime/Year (Minutes)" dataDxfId="1337">
      <calculatedColumnFormula>Table472590111[[#This Row],[Downtime/Year (Hours)]]*60</calculatedColumnFormula>
    </tableColumn>
    <tableColumn id="13" xr3:uid="{D74C129B-C8D9-4FB3-90AE-03113F4708AC}" name="Downtime/Month (Days)" dataDxfId="1336">
      <calculatedColumnFormula>Table472590111[[#This Row],[Downtime/Month (Hours)]]/24</calculatedColumnFormula>
    </tableColumn>
    <tableColumn id="9" xr3:uid="{F114C9DB-7F19-4C86-BA5D-B0A5B84258CB}" name="Downtime/Month (Hours)" dataDxfId="1335">
      <calculatedColumnFormula>Table472590111[[#This Row],[Downtime/Year (Hours)]]/12</calculatedColumnFormula>
    </tableColumn>
    <tableColumn id="11" xr3:uid="{8422125C-5F2E-4111-AB60-AB3CE3FA7499}" name="Downtime/Month (Minutes)" dataDxfId="1334">
      <calculatedColumnFormula>Table472590111[[#This Row],[Downtime/Month (Hours)]]*60</calculatedColumnFormula>
    </tableColumn>
    <tableColumn id="4" xr3:uid="{5AD67044-9827-40A1-878F-96CB96FE2A7F}" name="Reliability Score 1" dataDxfId="1333"/>
    <tableColumn id="5" xr3:uid="{A4142F0E-A535-4EF2-A29E-BDA6B666EDB2}" name="Secure Score 3 4" dataDxfId="1332"/>
    <tableColumn id="6" xr3:uid="{49F85069-6598-41BE-A52B-CAC36B8CA996}" name="RPO (Hours)" dataDxfId="1331"/>
    <tableColumn id="7" xr3:uid="{B492812B-5630-4D89-9B0E-9585522359A0}" name="RTO (Hours)" dataDxfId="1330"/>
  </tableColumns>
  <tableStyleInfo name="TableStyleLight4" showFirstColumn="0" showLastColumn="0" showRowStripes="1" showColumnStripes="0"/>
</table>
</file>

<file path=xl/tables/table4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1" xr:uid="{28E263F9-6954-4CB1-8936-857FA25DE0B2}" name="Table47258588112" displayName="Table47258588112" ref="D147:P154" totalsRowShown="0" headerRowDxfId="1329" dataDxfId="1328">
  <autoFilter ref="D147:P154" xr:uid="{28E263F9-6954-4CB1-8936-857FA25DE0B2}"/>
  <tableColumns count="13">
    <tableColumn id="2" xr3:uid="{14E95729-9FBB-488B-A4A3-2DC3B6EE8025}" name="Component" dataDxfId="1327"/>
    <tableColumn id="14" xr3:uid="{8D13FF82-C205-4A87-B025-271C63A72658}" name="Type" dataDxfId="1326"/>
    <tableColumn id="3" xr3:uid="{DD0951E5-6BAF-413A-959E-D35F0E4DDC6E}" name="SLA" dataDxfId="1325"/>
    <tableColumn id="12" xr3:uid="{458E3381-AFA0-495D-9801-A43ED178BC52}" name="Downtime/Year (Days)" dataDxfId="1324">
      <calculatedColumnFormula>(365) - Table47258588112[[#This Row],[SLA]]*(365)</calculatedColumnFormula>
    </tableColumn>
    <tableColumn id="8" xr3:uid="{B59F2DDB-4EC1-4593-A723-09E8951A35A2}" name="Downtime/Year (Hours)" dataDxfId="1323">
      <calculatedColumnFormula>(24*365) - Table47258588112[[#This Row],[SLA]]*(24*365)</calculatedColumnFormula>
    </tableColumn>
    <tableColumn id="10" xr3:uid="{9E6D045B-B5A6-41AA-8920-E63526265F2F}" name="Downtime/Year (Minutes)" dataDxfId="1322">
      <calculatedColumnFormula>Table47258588112[[#This Row],[Downtime/Year (Hours)]]*60</calculatedColumnFormula>
    </tableColumn>
    <tableColumn id="13" xr3:uid="{95CC536C-8F2A-446F-B136-C83550066A06}" name="Downtime/Month (Days)" dataDxfId="1321">
      <calculatedColumnFormula>Table47258588112[[#This Row],[Downtime/Month (Hours)]]/24</calculatedColumnFormula>
    </tableColumn>
    <tableColumn id="9" xr3:uid="{D21AE4A1-C8FF-4431-B285-C408B671F518}" name="Downtime/Month (Hours)" dataDxfId="1320">
      <calculatedColumnFormula>Table47258588112[[#This Row],[Downtime/Year (Hours)]]/12</calculatedColumnFormula>
    </tableColumn>
    <tableColumn id="11" xr3:uid="{DBD7A368-4146-45D4-A005-4A79EDC4A0E0}" name="Downtime/Month (Minutes)" dataDxfId="1319">
      <calculatedColumnFormula>Table47258588112[[#This Row],[Downtime/Month (Hours)]]*60</calculatedColumnFormula>
    </tableColumn>
    <tableColumn id="4" xr3:uid="{F425E6A8-1C61-47B3-AB6D-A41FAB189050}" name="Reliability Score 1" dataDxfId="1318"/>
    <tableColumn id="5" xr3:uid="{4E6B2C8A-8946-44AB-B8A4-88632222AE37}" name="Secure Score 3 4" dataDxfId="1317"/>
    <tableColumn id="6" xr3:uid="{F2980F38-E4C1-49DA-839F-C6F6A263FF1D}" name="RPO (Hours)" dataDxfId="1316"/>
    <tableColumn id="7" xr3:uid="{BC6506ED-763C-43EC-AF8E-725B509B6633}" name="RTO (Hours)" dataDxfId="1315"/>
  </tableColumns>
  <tableStyleInfo name="TableStyleLight4" showFirstColumn="0" showLastColumn="0" showRowStripes="1" showColumnStripes="0"/>
</table>
</file>

<file path=xl/tables/table4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2" xr:uid="{06146B2B-5959-495E-B108-E250EBF69B72}" name="Table8289113" displayName="Table8289113" ref="E121:N124" totalsRowShown="0" headerRowDxfId="1314" dataDxfId="1313">
  <autoFilter ref="E121:N124" xr:uid="{06146B2B-5959-495E-B108-E250EBF69B72}"/>
  <tableColumns count="10">
    <tableColumn id="1" xr3:uid="{0F985C7C-F706-4B75-A29B-F61991C17BA5}" name="Summary" dataDxfId="1312"/>
    <tableColumn id="2" xr3:uid="{E77A15E3-A48C-4745-85E9-0D108C634B45}" name="Composite SLA" dataDxfId="1311">
      <calculatedColumnFormula>F153-F121</calculatedColumnFormula>
    </tableColumn>
    <tableColumn id="3" xr3:uid="{30B06166-ACF6-438A-8279-BA2615F640A3}" name="Downtime/Year (Days)" dataDxfId="1310">
      <calculatedColumnFormula>G121-G153</calculatedColumnFormula>
    </tableColumn>
    <tableColumn id="4" xr3:uid="{42CCC3ED-00CF-48FD-9820-BFF81A13AEAC}" name="Downtime/Year (Hours)" dataDxfId="1309">
      <calculatedColumnFormula>H121-H153</calculatedColumnFormula>
    </tableColumn>
    <tableColumn id="5" xr3:uid="{4D207917-E3FD-494B-82BC-08F5173CEA21}" name="Downtime/Year (Minutes)" dataDxfId="1308">
      <calculatedColumnFormula>I121-I153</calculatedColumnFormula>
    </tableColumn>
    <tableColumn id="6" xr3:uid="{0C94C125-8790-4328-8928-0BA71BECC83D}" name="Downtime/Month (Days)" dataDxfId="1307">
      <calculatedColumnFormula>J121-J153</calculatedColumnFormula>
    </tableColumn>
    <tableColumn id="7" xr3:uid="{83FE6E55-B48D-49DD-8AE0-37E60F38FC15}" name="Downtime/Month (Hours)" dataDxfId="1306">
      <calculatedColumnFormula>K121-K153</calculatedColumnFormula>
    </tableColumn>
    <tableColumn id="8" xr3:uid="{216D2894-FCD3-458C-B574-1D576A263834}" name="Downtime/Month (Minutes)" dataDxfId="1305">
      <calculatedColumnFormula>L121-L153</calculatedColumnFormula>
    </tableColumn>
    <tableColumn id="9" xr3:uid="{07AB1B95-8D74-42F7-80A2-0E920AD522A4}" name="Composite Reliability" dataDxfId="1304">
      <calculatedColumnFormula>M121-M153</calculatedColumnFormula>
    </tableColumn>
    <tableColumn id="10" xr3:uid="{58D715BE-8488-4FDC-A67A-AFC112686927}" name="Composite _x000a_Secure Score" dataDxfId="1303">
      <calculatedColumnFormula>N121-N153</calculatedColumnFormula>
    </tableColumn>
  </tableColumns>
  <tableStyleInfo name="TableStyleLight4" showFirstColumn="0" showLastColumn="0" showRowStripes="1" showColumnStripes="0"/>
</table>
</file>

<file path=xl/tables/table4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3" xr:uid="{22C6627A-3A10-4266-9FB8-85BAE5177066}" name="Table472590114" displayName="Table472590114" ref="D135:P141" totalsRowShown="0" headerRowDxfId="1302" dataDxfId="1301">
  <autoFilter ref="D135:P141" xr:uid="{22C6627A-3A10-4266-9FB8-85BAE5177066}"/>
  <tableColumns count="13">
    <tableColumn id="2" xr3:uid="{7FE62017-A372-4A77-BD83-845756793F56}" name="Component" dataDxfId="1300"/>
    <tableColumn id="14" xr3:uid="{FCFC4838-FAB3-4B1D-9937-E3AB6C70150C}" name="Type" dataDxfId="1299"/>
    <tableColumn id="3" xr3:uid="{1E3BCB59-49F3-4F7E-BA6C-5348BBF0865E}" name="SLA" dataDxfId="1298"/>
    <tableColumn id="12" xr3:uid="{C344A00A-7635-469B-8E97-5A4327CDE158}" name="Downtime/Year (Days)" dataDxfId="1297">
      <calculatedColumnFormula>(365) - Table472590114[[#This Row],[SLA]]*(365)</calculatedColumnFormula>
    </tableColumn>
    <tableColumn id="8" xr3:uid="{58650006-737F-4469-84C4-93D113A5F0E5}" name="Downtime/Year (Hours)" dataDxfId="1296">
      <calculatedColumnFormula>(24*365) - Table472590114[[#This Row],[SLA]]*(24*365)</calculatedColumnFormula>
    </tableColumn>
    <tableColumn id="10" xr3:uid="{41B0D4E8-D208-43F4-8EF3-5CA31A507D5E}" name="Downtime/Year (Minutes)" dataDxfId="1295">
      <calculatedColumnFormula>Table472590114[[#This Row],[Downtime/Year (Hours)]]*60</calculatedColumnFormula>
    </tableColumn>
    <tableColumn id="13" xr3:uid="{6917CC6D-6D2F-41E9-B42B-CE2F1CD4B7B8}" name="Downtime/Month (Days)" dataDxfId="1294">
      <calculatedColumnFormula>Table472590114[[#This Row],[Downtime/Month (Hours)]]/24</calculatedColumnFormula>
    </tableColumn>
    <tableColumn id="9" xr3:uid="{77CD6879-D20A-4640-BA9F-DD7452DE82CF}" name="Downtime/Month (Hours)" dataDxfId="1293">
      <calculatedColumnFormula>Table472590114[[#This Row],[Downtime/Year (Hours)]]/12</calculatedColumnFormula>
    </tableColumn>
    <tableColumn id="11" xr3:uid="{602F08FD-A93B-40AB-962F-BA0AEF5851EA}" name="Downtime/Month (Minutes)" dataDxfId="1292">
      <calculatedColumnFormula>Table472590114[[#This Row],[Downtime/Month (Hours)]]*60</calculatedColumnFormula>
    </tableColumn>
    <tableColumn id="4" xr3:uid="{CB30FD03-F1D6-4AE9-BB4B-6F54447FD30D}" name="Reliability Score 1" dataDxfId="1291"/>
    <tableColumn id="5" xr3:uid="{5A2823EA-A42C-419B-886D-C174A5CC8BC0}" name="Secure Score 3 4" dataDxfId="1290"/>
    <tableColumn id="6" xr3:uid="{551A753F-1EAD-4E1A-B83A-81CA0EF1E985}" name="RPO (Hours)" dataDxfId="1289"/>
    <tableColumn id="7" xr3:uid="{8844CA1D-B75A-4970-A28A-B5E06C7BAAF5}" name="RTO (Hours)" dataDxfId="1288"/>
  </tableColumns>
  <tableStyleInfo name="TableStyleLight4" showFirstColumn="0" showLastColumn="0" showRowStripes="1" showColumnStripes="0"/>
</table>
</file>

<file path=xl/tables/table4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4" xr:uid="{10BFA16C-DC88-4793-B681-C09CE15E9539}" name="Table47258588115" displayName="Table47258588115" ref="D188:P197" totalsRowShown="0" headerRowDxfId="1287" dataDxfId="1286">
  <autoFilter ref="D188:P197" xr:uid="{10BFA16C-DC88-4793-B681-C09CE15E9539}"/>
  <tableColumns count="13">
    <tableColumn id="2" xr3:uid="{873D36CF-06A4-4EEA-80B4-79125A25A235}" name="Component" dataDxfId="1285"/>
    <tableColumn id="14" xr3:uid="{993FBDF4-7F31-40B1-B306-D4EB8501C812}" name="Type" dataDxfId="1284"/>
    <tableColumn id="3" xr3:uid="{52928FC9-F72B-4CC1-AFD8-636D014BFABE}" name="SLA" dataDxfId="1283"/>
    <tableColumn id="12" xr3:uid="{D525CA74-7BC7-4878-951E-66025477A2DB}" name="Downtime/Year (Days)" dataDxfId="1282">
      <calculatedColumnFormula>(365) - Table47258588115[[#This Row],[SLA]]*(365)</calculatedColumnFormula>
    </tableColumn>
    <tableColumn id="8" xr3:uid="{22D0168C-7231-46ED-B2FD-B321E1972F09}" name="Downtime/Year (Hours)" dataDxfId="1281">
      <calculatedColumnFormula>(24*365) - Table47258588115[[#This Row],[SLA]]*(24*365)</calculatedColumnFormula>
    </tableColumn>
    <tableColumn id="10" xr3:uid="{22CBD6E3-7910-4996-8D52-0F961B404A92}" name="Downtime/Year (Minutes)" dataDxfId="1280">
      <calculatedColumnFormula>Table47258588115[[#This Row],[Downtime/Year (Hours)]]*60</calculatedColumnFormula>
    </tableColumn>
    <tableColumn id="13" xr3:uid="{AA94EA4A-7166-4C18-9D17-5FE199670651}" name="Downtime/Month (Days)" dataDxfId="1279">
      <calculatedColumnFormula>Table47258588115[[#This Row],[Downtime/Month (Hours)]]/24</calculatedColumnFormula>
    </tableColumn>
    <tableColumn id="9" xr3:uid="{F48543D6-E45F-4DCA-82D5-F82E2A2ECC62}" name="Downtime/Month (Hours)" dataDxfId="1278">
      <calculatedColumnFormula>Table47258588115[[#This Row],[Downtime/Year (Hours)]]/12</calculatedColumnFormula>
    </tableColumn>
    <tableColumn id="11" xr3:uid="{DFDF2433-3007-4DEB-BFA3-DE3C807016A9}" name="Downtime/Month (Minutes)" dataDxfId="1277">
      <calculatedColumnFormula>Table47258588115[[#This Row],[Downtime/Month (Hours)]]*60</calculatedColumnFormula>
    </tableColumn>
    <tableColumn id="4" xr3:uid="{04EC4143-9F83-4433-8C26-F16A0E544002}" name="Reliability Score 1" dataDxfId="1276"/>
    <tableColumn id="5" xr3:uid="{6541376C-43EF-4A5A-8001-05E70DB94565}" name="Secure Score 3 4" dataDxfId="1275"/>
    <tableColumn id="6" xr3:uid="{0A006C1D-877D-4E3D-8D50-5EE259C93DD9}" name="RPO (Hours)" dataDxfId="1274"/>
    <tableColumn id="7" xr3:uid="{3AC90C53-3A68-4828-8DD5-9CE49B8C1954}" name="RTO (Hours)" dataDxfId="1273"/>
  </tableColumns>
  <tableStyleInfo name="TableStyleLight4"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8D6D951-CC6F-4AB1-8E17-9F720EFF9C6C}" name="Table3948" displayName="Table3948" ref="D13:Q63" totalsRowShown="0" headerRowDxfId="1919" dataDxfId="1918">
  <autoFilter ref="D13:Q63" xr:uid="{D8D6D951-CC6F-4AB1-8E17-9F720EFF9C6C}"/>
  <sortState xmlns:xlrd2="http://schemas.microsoft.com/office/spreadsheetml/2017/richdata2" ref="D14:Q63">
    <sortCondition ref="D13:D63"/>
  </sortState>
  <tableColumns count="14">
    <tableColumn id="1" xr3:uid="{47237B1F-6B8F-41EC-B2E8-E18584ABD355}" name="Function" dataDxfId="1917"/>
    <tableColumn id="7" xr3:uid="{BD3C1808-2010-49DD-AD5F-4EE1B0BBA639}" name="Description" dataDxfId="1916"/>
    <tableColumn id="2" xr3:uid="{CF249F32-6458-47B9-8213-333C37AA988B}" name="Application Architect" dataDxfId="1915"/>
    <tableColumn id="3" xr3:uid="{CABE0DED-C1F7-4159-B8B0-9169A106FB96}" name="Application Owner" dataDxfId="1914"/>
    <tableColumn id="4" xr3:uid="{8BB1BBB1-3B26-4F1C-B36D-FDE4C89AA0A7}" name="BCDR Engineer" dataDxfId="1913"/>
    <tableColumn id="5" xr3:uid="{F691E5AB-3AF5-46C4-8BCE-1EA13C9A2A3F}" name="UAT Tester" dataDxfId="1912"/>
    <tableColumn id="6" xr3:uid="{864256AC-E22F-4BDB-A500-CA8BC03F1C5B}" name="Application Licensing Specialist" dataDxfId="1911"/>
    <tableColumn id="8" xr3:uid="{602FF26E-A714-49D4-AE44-D4DA4B9592F6}" name="Business Continuity Owner" dataDxfId="1910"/>
    <tableColumn id="13" xr3:uid="{0A06477A-2BEC-4592-B2E2-E02D672D462A}" name="Enterprise Architect" dataDxfId="1909"/>
    <tableColumn id="9" xr3:uid="{664B8E60-8CE4-4733-9E4E-64926C6E5D5C}" name="IT Security Manager" dataDxfId="1908"/>
    <tableColumn id="10" xr3:uid="{D12EDB25-C8DA-49CA-896C-F3EAB9EBB53F}" name="Risk Manager" dataDxfId="1907"/>
    <tableColumn id="11" xr3:uid="{F8FE6745-4E5C-4205-81FF-92413D10C1AF}" name="Communication Manager" dataDxfId="1906"/>
    <tableColumn id="12" xr3:uid="{9B3390AB-55D6-41BE-9EC3-9F9D3E938D11}" name="Platform Landing Zone Architect" dataDxfId="1905"/>
    <tableColumn id="14" xr3:uid="{4A4A067E-98AF-40B4-B68D-0EB944C5FA1E}" name="Project Manager" dataDxfId="1904"/>
  </tableColumns>
  <tableStyleInfo name="TableStyleLight4" showFirstColumn="0" showLastColumn="0" showRowStripes="1" showColumnStripes="0"/>
</table>
</file>

<file path=xl/tables/table5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3" xr:uid="{230D340D-5236-4FD9-ABFF-842FFD032206}" name="Table8289124" displayName="Table8289124" ref="E160:N163" totalsRowShown="0" headerRowDxfId="1272" dataDxfId="1271">
  <autoFilter ref="E160:N163" xr:uid="{230D340D-5236-4FD9-ABFF-842FFD032206}"/>
  <tableColumns count="10">
    <tableColumn id="1" xr3:uid="{6CE74CA9-2D29-48C5-B413-F9AB218978B1}" name="Summary" dataDxfId="1270"/>
    <tableColumn id="2" xr3:uid="{68E5B0D7-74F9-48B6-B460-84937CEF5872}" name="Composite SLA" dataDxfId="1269">
      <calculatedColumnFormula>#REF!-F160</calculatedColumnFormula>
    </tableColumn>
    <tableColumn id="3" xr3:uid="{2A925FD1-3F52-4885-A5A2-1C0574298FF2}" name="Downtime/Year (Days)" dataDxfId="1268">
      <calculatedColumnFormula>G160-#REF!</calculatedColumnFormula>
    </tableColumn>
    <tableColumn id="4" xr3:uid="{83724D5D-EEC0-4929-B84F-3C748132B97E}" name="Downtime/Year (Hours)" dataDxfId="1267">
      <calculatedColumnFormula>H160-#REF!</calculatedColumnFormula>
    </tableColumn>
    <tableColumn id="5" xr3:uid="{BC6F8699-59AC-43CF-9A2E-36430AC5576C}" name="Downtime/Year (Minutes)" dataDxfId="1266">
      <calculatedColumnFormula>I160-#REF!</calculatedColumnFormula>
    </tableColumn>
    <tableColumn id="6" xr3:uid="{A7C84E64-8026-4685-ACFA-1069E82EBC20}" name="Downtime/Month (Days)" dataDxfId="1265">
      <calculatedColumnFormula>J160-#REF!</calculatedColumnFormula>
    </tableColumn>
    <tableColumn id="7" xr3:uid="{80FBB8B8-4464-4919-83FD-3115E0BC653C}" name="Downtime/Month (Hours)" dataDxfId="1264">
      <calculatedColumnFormula>K160-#REF!</calculatedColumnFormula>
    </tableColumn>
    <tableColumn id="8" xr3:uid="{C1950E03-A15D-4679-AB6E-01390AB04532}" name="Downtime/Month (Minutes)" dataDxfId="1263">
      <calculatedColumnFormula>L160-#REF!</calculatedColumnFormula>
    </tableColumn>
    <tableColumn id="9" xr3:uid="{2FCC19B2-5953-4E53-8E2A-9157FACEAED5}" name="Composite Reliability" dataDxfId="1262">
      <calculatedColumnFormula>M160-#REF!</calculatedColumnFormula>
    </tableColumn>
    <tableColumn id="10" xr3:uid="{A9F4E460-D2E1-44DD-B8E9-1F38558EBB08}" name="Composite _x000a_Secure Score" dataDxfId="1261">
      <calculatedColumnFormula>N160-#REF!</calculatedColumnFormula>
    </tableColumn>
  </tableColumns>
  <tableStyleInfo name="TableStyleLight4" showFirstColumn="0" showLastColumn="0" showRowStripes="1" showColumnStripes="0"/>
</table>
</file>

<file path=xl/tables/table5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5" xr:uid="{92A344EE-3A44-4344-9BC5-F878EF488403}" name="Table472590126" displayName="Table472590126" ref="D174:P182" totalsRowShown="0" headerRowDxfId="1260" dataDxfId="1259">
  <autoFilter ref="D174:P182" xr:uid="{92A344EE-3A44-4344-9BC5-F878EF488403}"/>
  <tableColumns count="13">
    <tableColumn id="2" xr3:uid="{5CD91381-F05E-45EE-8662-927D7AEC16E1}" name="Component" dataDxfId="1258"/>
    <tableColumn id="14" xr3:uid="{2098DB52-3572-4302-861D-D205F55E515C}" name="Type" dataDxfId="1257"/>
    <tableColumn id="3" xr3:uid="{A269842C-0CC5-4AE5-BD5E-F2500F18AF69}" name="SLA" dataDxfId="1256"/>
    <tableColumn id="12" xr3:uid="{67F74265-B045-4546-BFD8-E2E711B8B1A0}" name="Downtime/Year (Days)" dataDxfId="1255">
      <calculatedColumnFormula>(365) - Table472590126[[#This Row],[SLA]]*(365)</calculatedColumnFormula>
    </tableColumn>
    <tableColumn id="8" xr3:uid="{273704DD-7918-4C2B-89BE-CD965C1A366D}" name="Downtime/Year (Hours)" dataDxfId="1254">
      <calculatedColumnFormula>(24*365) - Table472590126[[#This Row],[SLA]]*(24*365)</calculatedColumnFormula>
    </tableColumn>
    <tableColumn id="10" xr3:uid="{F7AD124A-8A25-4B30-9418-115E35528F7B}" name="Downtime/Year (Minutes)" dataDxfId="1253">
      <calculatedColumnFormula>Table472590126[[#This Row],[Downtime/Year (Hours)]]*60</calculatedColumnFormula>
    </tableColumn>
    <tableColumn id="13" xr3:uid="{2367A24B-6D2A-4EB9-9AB7-F84FD5F8CF04}" name="Downtime/Month (Days)" dataDxfId="1252">
      <calculatedColumnFormula>Table472590126[[#This Row],[Downtime/Month (Hours)]]/24</calculatedColumnFormula>
    </tableColumn>
    <tableColumn id="9" xr3:uid="{5C276CA1-57F6-4A70-9468-9C4DC50F800A}" name="Downtime/Month (Hours)" dataDxfId="1251">
      <calculatedColumnFormula>Table472590126[[#This Row],[Downtime/Year (Hours)]]/12</calculatedColumnFormula>
    </tableColumn>
    <tableColumn id="11" xr3:uid="{B28AB5E5-0118-42E7-A329-B547B8C750C9}" name="Downtime/Month (Minutes)" dataDxfId="1250">
      <calculatedColumnFormula>Table472590126[[#This Row],[Downtime/Month (Hours)]]*60</calculatedColumnFormula>
    </tableColumn>
    <tableColumn id="4" xr3:uid="{F153A750-2E87-48B2-ABD0-0C2A21D04914}" name="Reliability Score 1" dataDxfId="1249"/>
    <tableColumn id="5" xr3:uid="{09B152F0-A277-4B72-87DA-CD317BDFBA4D}" name="Secure Score 3 4" dataDxfId="1248"/>
    <tableColumn id="6" xr3:uid="{C2384467-F5E0-468E-B7B3-F8CBDF49FD3B}" name="RPO (Hours)" dataDxfId="1247"/>
    <tableColumn id="7" xr3:uid="{21CD46B9-A0FF-41A9-8F88-5D989A786DA1}" name="RTO (Hours)" dataDxfId="1246"/>
  </tableColumns>
  <tableStyleInfo name="TableStyleLight4" showFirstColumn="0" showLastColumn="0" showRowStripes="1" showColumnStripes="0"/>
</table>
</file>

<file path=xl/tables/table5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6" xr:uid="{419DE61B-919E-410F-839E-ADF6D34D61D0}" name="Table47258588127" displayName="Table47258588127" ref="D232:P242" totalsRowShown="0" headerRowDxfId="1245" dataDxfId="1244">
  <autoFilter ref="D232:P242" xr:uid="{419DE61B-919E-410F-839E-ADF6D34D61D0}"/>
  <tableColumns count="13">
    <tableColumn id="2" xr3:uid="{26FA300F-3125-4B8A-9258-A11CED246FD8}" name="Component" dataDxfId="1243"/>
    <tableColumn id="14" xr3:uid="{37D5423C-4DBC-41CC-B908-1A2FAE779EAB}" name="Type" dataDxfId="1242"/>
    <tableColumn id="3" xr3:uid="{03AB6266-1858-4AE8-BE47-A16F5113D78E}" name="SLA" dataDxfId="1241"/>
    <tableColumn id="12" xr3:uid="{2B5695A0-7759-4FAC-9FE7-EE408561FC14}" name="Downtime/Year (Days)" dataDxfId="1240">
      <calculatedColumnFormula>(365) - Table47258588127[[#This Row],[SLA]]*(365)</calculatedColumnFormula>
    </tableColumn>
    <tableColumn id="8" xr3:uid="{6B47708F-92DF-4244-8BAB-AD987A5C1F97}" name="Downtime/Year (Hours)" dataDxfId="1239">
      <calculatedColumnFormula>(24*365) - Table47258588127[[#This Row],[SLA]]*(24*365)</calculatedColumnFormula>
    </tableColumn>
    <tableColumn id="10" xr3:uid="{D4854C22-1421-44A3-B49D-2BC882740A94}" name="Downtime/Year (Minutes)" dataDxfId="1238">
      <calculatedColumnFormula>Table47258588127[[#This Row],[Downtime/Year (Hours)]]*60</calculatedColumnFormula>
    </tableColumn>
    <tableColumn id="13" xr3:uid="{42E9FDF1-E1A2-478A-A4F1-842A7FBC4734}" name="Downtime/Month (Days)" dataDxfId="1237">
      <calculatedColumnFormula>Table47258588127[[#This Row],[Downtime/Month (Hours)]]/24</calculatedColumnFormula>
    </tableColumn>
    <tableColumn id="9" xr3:uid="{805FF7A0-99D1-46E9-A145-0EB9F379EDA7}" name="Downtime/Month (Hours)" dataDxfId="1236">
      <calculatedColumnFormula>Table47258588127[[#This Row],[Downtime/Year (Hours)]]/12</calculatedColumnFormula>
    </tableColumn>
    <tableColumn id="11" xr3:uid="{8580F213-CF72-4267-B194-E6D50478A610}" name="Downtime/Month (Minutes)" dataDxfId="1235">
      <calculatedColumnFormula>Table47258588127[[#This Row],[Downtime/Month (Hours)]]*60</calculatedColumnFormula>
    </tableColumn>
    <tableColumn id="4" xr3:uid="{EF3B8D6F-0E10-4BF9-A0E7-01D6BB1D5BF3}" name="Reliability Score 1" dataDxfId="1234"/>
    <tableColumn id="5" xr3:uid="{E62DE116-7730-4C68-A4E3-D7381E9B77E6}" name="Secure Score 3 4" dataDxfId="1233"/>
    <tableColumn id="6" xr3:uid="{92F2A7FD-04E2-4AF3-B700-1FE0649BE9AB}" name="RPO (Hours)" dataDxfId="1232"/>
    <tableColumn id="7" xr3:uid="{28712EFA-63F3-4195-A905-6C67CEC0F0DA}" name="RTO (Hours)" dataDxfId="1231"/>
  </tableColumns>
  <tableStyleInfo name="TableStyleLight4" showFirstColumn="0" showLastColumn="0" showRowStripes="1" showColumnStripes="0"/>
</table>
</file>

<file path=xl/tables/table5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7" xr:uid="{81FF74F2-ED96-4971-9C8D-7D07757C65C0}" name="Table8289128" displayName="Table8289128" ref="E203:N206" totalsRowShown="0" headerRowDxfId="1230" dataDxfId="1229">
  <autoFilter ref="E203:N206" xr:uid="{81FF74F2-ED96-4971-9C8D-7D07757C65C0}"/>
  <tableColumns count="10">
    <tableColumn id="1" xr3:uid="{430FAADA-CCDB-4868-8E47-724324ECABFF}" name="Summary" dataDxfId="1228"/>
    <tableColumn id="2" xr3:uid="{820F8BF3-8AB7-4E53-9BEC-F333B8C487B9}" name="Composite SLA" dataDxfId="1227">
      <calculatedColumnFormula>#REF!-F203</calculatedColumnFormula>
    </tableColumn>
    <tableColumn id="3" xr3:uid="{FBCB1F57-3BA5-485D-981E-0E489B89CC9F}" name="Downtime/Year (Days)" dataDxfId="1226">
      <calculatedColumnFormula>G203-#REF!</calculatedColumnFormula>
    </tableColumn>
    <tableColumn id="4" xr3:uid="{0B7615A9-524E-4DF2-AA57-6D4CC07FED09}" name="Downtime/Year (Hours)" dataDxfId="1225">
      <calculatedColumnFormula>H203-#REF!</calculatedColumnFormula>
    </tableColumn>
    <tableColumn id="5" xr3:uid="{2A4386A0-0329-41D3-AEF1-E26C99729D35}" name="Downtime/Year (Minutes)" dataDxfId="1224">
      <calculatedColumnFormula>I203-#REF!</calculatedColumnFormula>
    </tableColumn>
    <tableColumn id="6" xr3:uid="{258018E5-6270-4A91-9A1C-8AD23BF3FCB8}" name="Downtime/Month (Days)" dataDxfId="1223">
      <calculatedColumnFormula>J203-#REF!</calculatedColumnFormula>
    </tableColumn>
    <tableColumn id="7" xr3:uid="{C02730CC-BFC5-40ED-8EBC-98F8B7C948E2}" name="Downtime/Month (Hours)" dataDxfId="1222">
      <calculatedColumnFormula>K203-#REF!</calculatedColumnFormula>
    </tableColumn>
    <tableColumn id="8" xr3:uid="{9DB293D0-2A72-4760-BC9F-C95F36AF3951}" name="Downtime/Month (Minutes)" dataDxfId="1221">
      <calculatedColumnFormula>L203-#REF!</calculatedColumnFormula>
    </tableColumn>
    <tableColumn id="9" xr3:uid="{B44685B9-68E3-4E05-A396-57CB11601A0F}" name="Composite Reliability" dataDxfId="1220">
      <calculatedColumnFormula>M203-#REF!</calculatedColumnFormula>
    </tableColumn>
    <tableColumn id="10" xr3:uid="{8CD361A9-9135-4ED8-A121-C6A55711C5B6}" name="Composite _x000a_Secure Score" dataDxfId="1219">
      <calculatedColumnFormula>N203-#REF!</calculatedColumnFormula>
    </tableColumn>
  </tableColumns>
  <tableStyleInfo name="TableStyleLight4" showFirstColumn="0" showLastColumn="0" showRowStripes="1" showColumnStripes="0"/>
</table>
</file>

<file path=xl/tables/table5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8" xr:uid="{919DCE65-9D3B-4F48-85FD-3D4FC8C7500F}" name="Table472590129" displayName="Table472590129" ref="D217:P226" totalsRowShown="0" headerRowDxfId="1218" dataDxfId="1217">
  <autoFilter ref="D217:P226" xr:uid="{919DCE65-9D3B-4F48-85FD-3D4FC8C7500F}"/>
  <tableColumns count="13">
    <tableColumn id="2" xr3:uid="{3CD95D24-882E-4B44-84D5-DC7EA4603E2A}" name="Component" dataDxfId="1216"/>
    <tableColumn id="14" xr3:uid="{813A6DD3-F58C-4792-AFB9-0DFFCF52E82B}" name="Type" dataDxfId="1215"/>
    <tableColumn id="3" xr3:uid="{E295B4C7-62D9-48BA-8B21-8507DB445EBD}" name="SLA" dataDxfId="1214"/>
    <tableColumn id="12" xr3:uid="{907403A7-6E65-4032-8161-C10142D6E87D}" name="Downtime/Year (Days)" dataDxfId="1213">
      <calculatedColumnFormula>(365) - Table472590129[[#This Row],[SLA]]*(365)</calculatedColumnFormula>
    </tableColumn>
    <tableColumn id="8" xr3:uid="{422DAA50-4700-4DAB-9C20-24DAA10F54DD}" name="Downtime/Year (Hours)" dataDxfId="1212">
      <calculatedColumnFormula>(24*365) - Table472590129[[#This Row],[SLA]]*(24*365)</calculatedColumnFormula>
    </tableColumn>
    <tableColumn id="10" xr3:uid="{0CA0D203-A563-47F8-9794-BE7F446FB700}" name="Downtime/Year (Minutes)" dataDxfId="1211">
      <calculatedColumnFormula>Table472590129[[#This Row],[Downtime/Year (Hours)]]*60</calculatedColumnFormula>
    </tableColumn>
    <tableColumn id="13" xr3:uid="{E3E840E5-140C-45D5-AC81-F3638576BBE1}" name="Downtime/Month (Days)" dataDxfId="1210">
      <calculatedColumnFormula>Table472590129[[#This Row],[Downtime/Month (Hours)]]/24</calculatedColumnFormula>
    </tableColumn>
    <tableColumn id="9" xr3:uid="{F159F39C-E4D3-4635-9738-1E9CA3ACF112}" name="Downtime/Month (Hours)" dataDxfId="1209">
      <calculatedColumnFormula>Table472590129[[#This Row],[Downtime/Year (Hours)]]/12</calculatedColumnFormula>
    </tableColumn>
    <tableColumn id="11" xr3:uid="{361380E6-A82B-4BC6-8070-4FDA4F71B5F4}" name="Downtime/Month (Minutes)" dataDxfId="1208">
      <calculatedColumnFormula>Table472590129[[#This Row],[Downtime/Month (Hours)]]*60</calculatedColumnFormula>
    </tableColumn>
    <tableColumn id="4" xr3:uid="{6E641DB6-F8D2-40EF-A04D-8EE08800430C}" name="Reliability Score 1" dataDxfId="1207"/>
    <tableColumn id="5" xr3:uid="{C0E03E98-B629-47C5-BB26-23D9B37275F2}" name="Secure Score 3 4" dataDxfId="1206"/>
    <tableColumn id="6" xr3:uid="{EC1C03E6-2C0E-45B2-81A3-72B2DDDF597C}" name="RPO (Hours)" dataDxfId="1205"/>
    <tableColumn id="7" xr3:uid="{D1D79EA4-96D2-4343-BC8F-923C8A3458D6}" name="RTO (Hours)" dataDxfId="1204"/>
  </tableColumns>
  <tableStyleInfo name="TableStyleLight4" showFirstColumn="0" showLastColumn="0" showRowStripes="1" showColumnStripes="0"/>
</table>
</file>

<file path=xl/tables/table5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9" xr:uid="{19C7762E-6CA8-43FE-BE51-9CA3203136AC}" name="Table47258588130" displayName="Table47258588130" ref="D275:P283" totalsRowShown="0" headerRowDxfId="1203" dataDxfId="1202">
  <autoFilter ref="D275:P283" xr:uid="{19C7762E-6CA8-43FE-BE51-9CA3203136AC}"/>
  <tableColumns count="13">
    <tableColumn id="2" xr3:uid="{9A88E733-0F28-42CD-84D2-5B2F1866E780}" name="Component" dataDxfId="1201"/>
    <tableColumn id="14" xr3:uid="{0C04794C-8EE2-413E-9DB6-A505FD390F85}" name="Type" dataDxfId="1200"/>
    <tableColumn id="3" xr3:uid="{BB132336-23DB-4667-AB12-C999A46CF3AB}" name="SLA" dataDxfId="1199"/>
    <tableColumn id="12" xr3:uid="{AF086BC1-9D99-4940-A1C8-9F4F8A284019}" name="Downtime/Year (Days)" dataDxfId="1198">
      <calculatedColumnFormula>(365) - Table47258588130[[#This Row],[SLA]]*(365)</calculatedColumnFormula>
    </tableColumn>
    <tableColumn id="8" xr3:uid="{600E4E41-A9E9-46CE-B260-9B6C6AA29CB8}" name="Downtime/Year (Hours)" dataDxfId="1197">
      <calculatedColumnFormula>(24*365) - Table47258588130[[#This Row],[SLA]]*(24*365)</calculatedColumnFormula>
    </tableColumn>
    <tableColumn id="10" xr3:uid="{5C0B94F3-1334-4AFC-A23D-F43E78E8C95F}" name="Downtime/Year (Minutes)" dataDxfId="1196">
      <calculatedColumnFormula>Table47258588130[[#This Row],[Downtime/Year (Hours)]]*60</calculatedColumnFormula>
    </tableColumn>
    <tableColumn id="13" xr3:uid="{2B1D56CB-958E-4A92-920E-FE0835203011}" name="Downtime/Month (Days)" dataDxfId="1195">
      <calculatedColumnFormula>Table47258588130[[#This Row],[Downtime/Month (Hours)]]/24</calculatedColumnFormula>
    </tableColumn>
    <tableColumn id="9" xr3:uid="{2753E719-DEE2-420B-95C9-776F5BB397F8}" name="Downtime/Month (Hours)" dataDxfId="1194">
      <calculatedColumnFormula>Table47258588130[[#This Row],[Downtime/Year (Hours)]]/12</calculatedColumnFormula>
    </tableColumn>
    <tableColumn id="11" xr3:uid="{42EEAA59-E1B2-4766-93DF-90B69FA51BD7}" name="Downtime/Month (Minutes)" dataDxfId="1193">
      <calculatedColumnFormula>Table47258588130[[#This Row],[Downtime/Month (Hours)]]*60</calculatedColumnFormula>
    </tableColumn>
    <tableColumn id="4" xr3:uid="{8650448F-3CE6-4898-9093-C2E740FD4555}" name="Reliability Score 1" dataDxfId="1192"/>
    <tableColumn id="5" xr3:uid="{8E184FE4-138D-4E9A-96AD-AB7F4D99E559}" name="Secure Score 3 4" dataDxfId="1191"/>
    <tableColumn id="6" xr3:uid="{725FC613-5144-436D-895F-AF276EA1EA59}" name="RPO (Hours)" dataDxfId="1190"/>
    <tableColumn id="7" xr3:uid="{E353E351-51FD-4CEA-8471-A73A509FC2E3}" name="RTO (Hours)" dataDxfId="1189"/>
  </tableColumns>
  <tableStyleInfo name="TableStyleLight4" showFirstColumn="0" showLastColumn="0" showRowStripes="1" showColumnStripes="0"/>
</table>
</file>

<file path=xl/tables/table5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0" xr:uid="{3988BB1F-7EC0-4EEE-8774-B224963AF7C9}" name="Table8289131" displayName="Table8289131" ref="E248:N251" totalsRowShown="0" headerRowDxfId="1188" dataDxfId="1187">
  <autoFilter ref="E248:N251" xr:uid="{3988BB1F-7EC0-4EEE-8774-B224963AF7C9}"/>
  <tableColumns count="10">
    <tableColumn id="1" xr3:uid="{4A2B473C-B29D-4890-A182-096DD762AF16}" name="Summary" dataDxfId="1186"/>
    <tableColumn id="2" xr3:uid="{8CB32EDC-7729-4BE3-8581-10D964527296}" name="Composite SLA" dataDxfId="1185">
      <calculatedColumnFormula>#REF!-F248</calculatedColumnFormula>
    </tableColumn>
    <tableColumn id="3" xr3:uid="{C3B99B29-9C0C-455A-986B-33BD04830850}" name="Downtime/Year (Days)" dataDxfId="1184">
      <calculatedColumnFormula>G248-#REF!</calculatedColumnFormula>
    </tableColumn>
    <tableColumn id="4" xr3:uid="{0F846A99-0463-4771-B16C-7CD7B274AB69}" name="Downtime/Year (Hours)" dataDxfId="1183">
      <calculatedColumnFormula>H248-#REF!</calculatedColumnFormula>
    </tableColumn>
    <tableColumn id="5" xr3:uid="{8431D8F0-4AD4-459C-B6A0-7E0A7260B60E}" name="Downtime/Year (Minutes)" dataDxfId="1182">
      <calculatedColumnFormula>I248-#REF!</calculatedColumnFormula>
    </tableColumn>
    <tableColumn id="6" xr3:uid="{54D675B2-6301-4ED5-9685-2ED106D487C0}" name="Downtime/Month (Days)" dataDxfId="1181">
      <calculatedColumnFormula>J248-#REF!</calculatedColumnFormula>
    </tableColumn>
    <tableColumn id="7" xr3:uid="{E96B3F8A-936B-4059-9D3F-E1B77AAA5382}" name="Downtime/Month (Hours)" dataDxfId="1180">
      <calculatedColumnFormula>K248-#REF!</calculatedColumnFormula>
    </tableColumn>
    <tableColumn id="8" xr3:uid="{03F05654-FC4C-442C-92B3-15920929B842}" name="Downtime/Month (Minutes)" dataDxfId="1179">
      <calculatedColumnFormula>L248-#REF!</calculatedColumnFormula>
    </tableColumn>
    <tableColumn id="9" xr3:uid="{AF06E7C8-F46B-42A6-A601-11066E6B2840}" name="Composite Reliability" dataDxfId="1178">
      <calculatedColumnFormula>M248-#REF!</calculatedColumnFormula>
    </tableColumn>
    <tableColumn id="10" xr3:uid="{B55C752D-74F6-4789-AA40-1A8CDF50A768}" name="Composite _x000a_Secure Score" dataDxfId="1177">
      <calculatedColumnFormula>N248-#REF!</calculatedColumnFormula>
    </tableColumn>
  </tableColumns>
  <tableStyleInfo name="TableStyleLight4" showFirstColumn="0" showLastColumn="0" showRowStripes="1" showColumnStripes="0"/>
</table>
</file>

<file path=xl/tables/table5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1" xr:uid="{545726EB-5AB7-4BD2-85AC-D954357692E9}" name="Table472590132" displayName="Table472590132" ref="D262:P269" totalsRowShown="0" headerRowDxfId="1176" dataDxfId="1175">
  <autoFilter ref="D262:P269" xr:uid="{545726EB-5AB7-4BD2-85AC-D954357692E9}"/>
  <tableColumns count="13">
    <tableColumn id="2" xr3:uid="{FDCECE60-8CB0-4551-9AD9-9E6EB875F6B7}" name="Component" dataDxfId="1174"/>
    <tableColumn id="14" xr3:uid="{FE62F741-4AA0-49C2-B5D0-AE9447D5F0B4}" name="Type" dataDxfId="1173"/>
    <tableColumn id="3" xr3:uid="{AF988F7E-CEBE-4452-A043-9B6C1DC8EBFF}" name="SLA" dataDxfId="1172"/>
    <tableColumn id="12" xr3:uid="{E38BA24B-B16A-4212-A44F-064136AAAFB8}" name="Downtime/Year (Days)" dataDxfId="1171">
      <calculatedColumnFormula>(365) - Table472590132[[#This Row],[SLA]]*(365)</calculatedColumnFormula>
    </tableColumn>
    <tableColumn id="8" xr3:uid="{E4EC52FA-4BEC-495D-BC5E-067262A0FBEC}" name="Downtime/Year (Hours)" dataDxfId="1170">
      <calculatedColumnFormula>(24*365) - Table472590132[[#This Row],[SLA]]*(24*365)</calculatedColumnFormula>
    </tableColumn>
    <tableColumn id="10" xr3:uid="{41E9CCF5-C463-4711-BBE4-F934477040DA}" name="Downtime/Year (Minutes)" dataDxfId="1169">
      <calculatedColumnFormula>Table472590132[[#This Row],[Downtime/Year (Hours)]]*60</calculatedColumnFormula>
    </tableColumn>
    <tableColumn id="13" xr3:uid="{B4BD2501-3C65-4C27-8BF6-726CFA8B558E}" name="Downtime/Month (Days)" dataDxfId="1168">
      <calculatedColumnFormula>Table472590132[[#This Row],[Downtime/Month (Hours)]]/24</calculatedColumnFormula>
    </tableColumn>
    <tableColumn id="9" xr3:uid="{7AF19A69-AA12-46D0-AF3D-CBEB554880F4}" name="Downtime/Month (Hours)" dataDxfId="1167">
      <calculatedColumnFormula>Table472590132[[#This Row],[Downtime/Year (Hours)]]/12</calculatedColumnFormula>
    </tableColumn>
    <tableColumn id="11" xr3:uid="{CFC5472D-0AEE-4ACD-80DB-5E3C97858CD6}" name="Downtime/Month (Minutes)" dataDxfId="1166">
      <calculatedColumnFormula>Table472590132[[#This Row],[Downtime/Month (Hours)]]*60</calculatedColumnFormula>
    </tableColumn>
    <tableColumn id="4" xr3:uid="{B59927ED-2421-4405-92A5-38F31D18986B}" name="Reliability Score 1" dataDxfId="1165"/>
    <tableColumn id="5" xr3:uid="{C189349A-7AE1-4250-8ACB-113C0F7803D9}" name="Secure Score 3 4" dataDxfId="1164"/>
    <tableColumn id="6" xr3:uid="{2B892260-720B-445A-9FCC-3EE66CCCB07D}" name="RPO (Hours)" dataDxfId="1163"/>
    <tableColumn id="7" xr3:uid="{B904C744-61B2-46D6-BFD0-DD04E4E5FA45}" name="RTO (Hours)" dataDxfId="1162"/>
  </tableColumns>
  <tableStyleInfo name="TableStyleLight4" showFirstColumn="0" showLastColumn="0" showRowStripes="1" showColumnStripes="0"/>
</table>
</file>

<file path=xl/tables/table5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2" xr:uid="{E32EA568-4AFF-430B-A61E-AA60AE474395}" name="Table47258588133" displayName="Table47258588133" ref="D315:P322" totalsRowShown="0" headerRowDxfId="1161" dataDxfId="1160">
  <autoFilter ref="D315:P322" xr:uid="{E32EA568-4AFF-430B-A61E-AA60AE474395}"/>
  <tableColumns count="13">
    <tableColumn id="2" xr3:uid="{932FF1EA-91C7-4184-A930-8804D78230B0}" name="Component" dataDxfId="1159"/>
    <tableColumn id="14" xr3:uid="{A4169893-ADBA-4A9C-8B0F-7F97AA504EBC}" name="Type" dataDxfId="1158"/>
    <tableColumn id="3" xr3:uid="{3FB09994-1ACB-4C4E-8E41-D1607537CAC1}" name="SLA" dataDxfId="1157"/>
    <tableColumn id="12" xr3:uid="{3328E6A8-6AB7-459A-BDBC-EB9E722215CF}" name="Downtime/Year (Days)" dataDxfId="1156">
      <calculatedColumnFormula>(365) - Table47258588133[[#This Row],[SLA]]*(365)</calculatedColumnFormula>
    </tableColumn>
    <tableColumn id="8" xr3:uid="{369BB1C9-4EB4-4218-81EB-FD48B6046760}" name="Downtime/Year (Hours)" dataDxfId="1155">
      <calculatedColumnFormula>(24*365) - Table47258588133[[#This Row],[SLA]]*(24*365)</calculatedColumnFormula>
    </tableColumn>
    <tableColumn id="10" xr3:uid="{795A42C1-6381-4C74-AA0C-B2435CADC8A4}" name="Downtime/Year (Minutes)" dataDxfId="1154">
      <calculatedColumnFormula>Table47258588133[[#This Row],[Downtime/Year (Hours)]]*60</calculatedColumnFormula>
    </tableColumn>
    <tableColumn id="13" xr3:uid="{09C4BAD3-AE2E-4F26-B404-C6C69E67F720}" name="Downtime/Month (Days)" dataDxfId="1153">
      <calculatedColumnFormula>Table47258588133[[#This Row],[Downtime/Month (Hours)]]/24</calculatedColumnFormula>
    </tableColumn>
    <tableColumn id="9" xr3:uid="{126F5163-0E8F-41FA-AEA8-BFC3EB15D7D6}" name="Downtime/Month (Hours)" dataDxfId="1152">
      <calculatedColumnFormula>Table47258588133[[#This Row],[Downtime/Year (Hours)]]/12</calculatedColumnFormula>
    </tableColumn>
    <tableColumn id="11" xr3:uid="{47567FBB-ABAD-4E2A-B4AF-032B02AB750B}" name="Downtime/Month (Minutes)" dataDxfId="1151">
      <calculatedColumnFormula>Table47258588133[[#This Row],[Downtime/Month (Hours)]]*60</calculatedColumnFormula>
    </tableColumn>
    <tableColumn id="4" xr3:uid="{88EAE1B5-526A-45CC-822E-398131BA9FCD}" name="Reliability Score 1" dataDxfId="1150"/>
    <tableColumn id="5" xr3:uid="{71C84ADC-CED7-4944-8EEE-15BCAE1F82DA}" name="Secure Score 3 4" dataDxfId="1149"/>
    <tableColumn id="6" xr3:uid="{6A0D53AC-1917-47F4-82A5-0F560BD7F13D}" name="RPO (Hours)" dataDxfId="1148"/>
    <tableColumn id="7" xr3:uid="{27FD92B2-5A59-4F92-824B-597D1AB569D2}" name="RTO (Hours)" dataDxfId="1147"/>
  </tableColumns>
  <tableStyleInfo name="TableStyleLight4" showFirstColumn="0" showLastColumn="0" showRowStripes="1" showColumnStripes="0"/>
</table>
</file>

<file path=xl/tables/table5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3" xr:uid="{0B022A84-2473-4930-B1E0-F07462B86D98}" name="Table8289134" displayName="Table8289134" ref="E289:N292" totalsRowShown="0" headerRowDxfId="1146" dataDxfId="1145">
  <autoFilter ref="E289:N292" xr:uid="{0B022A84-2473-4930-B1E0-F07462B86D98}"/>
  <tableColumns count="10">
    <tableColumn id="1" xr3:uid="{686F6971-3111-494D-8A78-989B5ECFF94B}" name="Summary" dataDxfId="1144"/>
    <tableColumn id="2" xr3:uid="{FCA35950-C1CF-4ABB-9C41-FD582A8D0B36}" name="Composite SLA" dataDxfId="1143">
      <calculatedColumnFormula>#REF!-F289</calculatedColumnFormula>
    </tableColumn>
    <tableColumn id="3" xr3:uid="{871D423A-27EA-41B4-BD08-BA9F5D5FBD16}" name="Downtime/Year (Days)" dataDxfId="1142">
      <calculatedColumnFormula>G289-#REF!</calculatedColumnFormula>
    </tableColumn>
    <tableColumn id="4" xr3:uid="{28CE80BD-B28C-47FF-AD0C-A2990750D934}" name="Downtime/Year (Hours)" dataDxfId="1141">
      <calculatedColumnFormula>H289-#REF!</calculatedColumnFormula>
    </tableColumn>
    <tableColumn id="5" xr3:uid="{4978EAF1-691A-445D-A8E5-5DC7387E58BD}" name="Downtime/Year (Minutes)" dataDxfId="1140">
      <calculatedColumnFormula>I289-#REF!</calculatedColumnFormula>
    </tableColumn>
    <tableColumn id="6" xr3:uid="{A0866E57-8596-4D7E-823F-E3CABAB707F5}" name="Downtime/Month (Days)" dataDxfId="1139">
      <calculatedColumnFormula>J289-#REF!</calculatedColumnFormula>
    </tableColumn>
    <tableColumn id="7" xr3:uid="{039017F4-E765-43FC-BA8D-F6529E08CAEF}" name="Downtime/Month (Hours)" dataDxfId="1138">
      <calculatedColumnFormula>K289-#REF!</calculatedColumnFormula>
    </tableColumn>
    <tableColumn id="8" xr3:uid="{1771EC97-F503-42FA-993D-B5D9E06459EE}" name="Downtime/Month (Minutes)" dataDxfId="1137">
      <calculatedColumnFormula>L289-#REF!</calculatedColumnFormula>
    </tableColumn>
    <tableColumn id="9" xr3:uid="{4118E3B0-4976-472A-AD40-5CF2F3807ED8}" name="Composite Reliability" dataDxfId="1136">
      <calculatedColumnFormula>M289-#REF!</calculatedColumnFormula>
    </tableColumn>
    <tableColumn id="10" xr3:uid="{92C5849E-6B52-4C15-94E3-F1B91B9BFF48}" name="Composite _x000a_Secure Score" dataDxfId="1135">
      <calculatedColumnFormula>N289-#REF!</calculatedColumnFormula>
    </tableColumn>
  </tableColumns>
  <tableStyleInfo name="TableStyleLight4"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5B490A1C-0636-4260-B786-8CD50193FBB2}" name="Table23" displayName="Table23" ref="D26:M120" totalsRowShown="0" headerRowDxfId="1901" dataDxfId="1900" tableBorderDxfId="1899">
  <autoFilter ref="D26:M120" xr:uid="{5B490A1C-0636-4260-B786-8CD50193FBB2}"/>
  <sortState xmlns:xlrd2="http://schemas.microsoft.com/office/spreadsheetml/2017/richdata2" ref="D27:M119">
    <sortCondition ref="E26:E119" customList="General,People and Process,Availability,Recoverability,Monitor,Security,Validation and Testing"/>
  </sortState>
  <tableColumns count="10">
    <tableColumn id="1" xr3:uid="{0F046313-55F9-45FE-AB56-508E267D0CE5}" name="ID" dataDxfId="1898"/>
    <tableColumn id="10" xr3:uid="{03497674-8CD3-4903-AF7C-A2111B2AF9D1}" name="Category" dataDxfId="1897"/>
    <tableColumn id="2" xr3:uid="{FE06CEBD-95B8-4FEC-8AA2-C57FACB71660}" name="Requirements" dataDxfId="1896"/>
    <tableColumn id="3" xr3:uid="{5A2A9BFA-FFB0-4D42-8C34-279C57DE712D}" name="Commitment Level 1" dataDxfId="1895"/>
    <tableColumn id="4" xr3:uid="{310C8A06-528B-4B3A-9F7C-BE22F1B544AA}" name="Template(s)" dataDxfId="1894"/>
    <tableColumn id="5" xr3:uid="{7FF27840-CDC2-4737-A093-AE67D441A072}" name="Workshop" dataDxfId="1893"/>
    <tableColumn id="6" xr3:uid="{3FCBB1E0-FF0F-4DA3-B68A-E2F828F49B83}" name="Owner" dataDxfId="1892"/>
    <tableColumn id="7" xr3:uid="{C6F1573E-4285-483B-BE8A-E1C64EAAC4FC}" name="Stakeholder(s)" dataDxfId="1891"/>
    <tableColumn id="8" xr3:uid="{4E3A03E7-B576-431A-B1FD-D790C2DE89A5}" name="Required" dataDxfId="1890"/>
    <tableColumn id="9" xr3:uid="{E4C38265-0730-4B61-9514-9D2479A02F23}" name="Architecture Decision Record" dataDxfId="1889"/>
  </tableColumns>
  <tableStyleInfo name="TableStyleLight4" showFirstColumn="0" showLastColumn="0" showRowStripes="1" showColumnStripes="0"/>
</table>
</file>

<file path=xl/tables/table6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4" xr:uid="{0CA5FCC8-9D98-424E-B62D-61EF7B1AD2DC}" name="Table472590135" displayName="Table472590135" ref="D303:P309" totalsRowShown="0" headerRowDxfId="1134" dataDxfId="1133">
  <autoFilter ref="D303:P309" xr:uid="{0CA5FCC8-9D98-424E-B62D-61EF7B1AD2DC}"/>
  <tableColumns count="13">
    <tableColumn id="2" xr3:uid="{E9880EBA-9447-40A5-84D0-723A82E42596}" name="Component" dataDxfId="1132"/>
    <tableColumn id="14" xr3:uid="{7F16BF90-BB10-4907-9ED4-B9D08A92B271}" name="Type" dataDxfId="1131"/>
    <tableColumn id="3" xr3:uid="{62B1BEEB-74E1-489D-B8E9-B1829DD267C8}" name="SLA" dataDxfId="1130"/>
    <tableColumn id="12" xr3:uid="{F31AFE51-C6CE-4A33-9E6F-CF3F79665E84}" name="Downtime/Year (Days)" dataDxfId="1129">
      <calculatedColumnFormula>(365) - Table472590135[[#This Row],[SLA]]*(365)</calculatedColumnFormula>
    </tableColumn>
    <tableColumn id="8" xr3:uid="{B58337D8-53FF-4B9E-87F9-84B9246B9D51}" name="Downtime/Year (Hours)" dataDxfId="1128">
      <calculatedColumnFormula>(24*365) - Table472590135[[#This Row],[SLA]]*(24*365)</calculatedColumnFormula>
    </tableColumn>
    <tableColumn id="10" xr3:uid="{DC4B322B-B19A-439B-8358-9C8C586A2371}" name="Downtime/Year (Minutes)" dataDxfId="1127">
      <calculatedColumnFormula>Table472590135[[#This Row],[Downtime/Year (Hours)]]*60</calculatedColumnFormula>
    </tableColumn>
    <tableColumn id="13" xr3:uid="{923B075C-6730-461C-A98C-EE9E2644FCD9}" name="Downtime/Month (Days)" dataDxfId="1126">
      <calculatedColumnFormula>Table472590135[[#This Row],[Downtime/Month (Hours)]]/24</calculatedColumnFormula>
    </tableColumn>
    <tableColumn id="9" xr3:uid="{563CD12B-46D5-4E95-91ED-C189EF7AB791}" name="Downtime/Month (Hours)" dataDxfId="1125">
      <calculatedColumnFormula>Table472590135[[#This Row],[Downtime/Year (Hours)]]/12</calculatedColumnFormula>
    </tableColumn>
    <tableColumn id="11" xr3:uid="{3DAA7D68-9B23-4D01-85D4-717A08FA5768}" name="Downtime/Month (Minutes)" dataDxfId="1124">
      <calculatedColumnFormula>Table472590135[[#This Row],[Downtime/Month (Hours)]]*60</calculatedColumnFormula>
    </tableColumn>
    <tableColumn id="4" xr3:uid="{B69670D5-6D20-431A-94AF-CBD6E746D9E0}" name="Reliability Score 1" dataDxfId="1123"/>
    <tableColumn id="5" xr3:uid="{64E6FF1B-C968-40E0-AB4A-2BE1F86B6F99}" name="Secure Score 3 4" dataDxfId="1122"/>
    <tableColumn id="6" xr3:uid="{DA01583E-9EF1-49FE-9FCF-4417BD126AFA}" name="RPO (Hours)" dataDxfId="1121"/>
    <tableColumn id="7" xr3:uid="{61527891-59A1-4CB9-987D-4738D69D987D}" name="RTO (Hours)" dataDxfId="1120"/>
  </tableColumns>
  <tableStyleInfo name="TableStyleLight4" showFirstColumn="0" showLastColumn="0" showRowStripes="1" showColumnStripes="0"/>
</table>
</file>

<file path=xl/tables/table6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5" xr:uid="{8EB91840-61CE-420D-964A-9CCB7C275FE3}" name="Table47258588136" displayName="Table47258588136" ref="D355:P363" totalsRowShown="0" headerRowDxfId="1119" dataDxfId="1118">
  <autoFilter ref="D355:P363" xr:uid="{8EB91840-61CE-420D-964A-9CCB7C275FE3}"/>
  <tableColumns count="13">
    <tableColumn id="2" xr3:uid="{FE0F4279-2DF8-4E3F-9EF5-91454CDCD7DC}" name="Component" dataDxfId="1117"/>
    <tableColumn id="14" xr3:uid="{5E3D5F66-3A50-4396-98ED-399690585AE3}" name="Type" dataDxfId="1116"/>
    <tableColumn id="3" xr3:uid="{94436877-2EF4-41CC-843A-DD0C0360BE9C}" name="SLA" dataDxfId="1115"/>
    <tableColumn id="12" xr3:uid="{1DF09B76-7E2E-4349-8A95-CF8762473A50}" name="Downtime/Year (Days)" dataDxfId="1114">
      <calculatedColumnFormula>(365) - Table47258588136[[#This Row],[SLA]]*(365)</calculatedColumnFormula>
    </tableColumn>
    <tableColumn id="8" xr3:uid="{D66115F6-C0BF-40E1-8174-40D08759D93B}" name="Downtime/Year (Hours)" dataDxfId="1113">
      <calculatedColumnFormula>(24*365) - Table47258588136[[#This Row],[SLA]]*(24*365)</calculatedColumnFormula>
    </tableColumn>
    <tableColumn id="10" xr3:uid="{47FFFCD4-223C-4E4F-9CEA-90DDA503A075}" name="Downtime/Year (Minutes)" dataDxfId="1112">
      <calculatedColumnFormula>Table47258588136[[#This Row],[Downtime/Year (Hours)]]*60</calculatedColumnFormula>
    </tableColumn>
    <tableColumn id="13" xr3:uid="{22BC6540-6D1F-4153-A2B7-5BF6573C5950}" name="Downtime/Month (Days)" dataDxfId="1111">
      <calculatedColumnFormula>Table47258588136[[#This Row],[Downtime/Month (Hours)]]/24</calculatedColumnFormula>
    </tableColumn>
    <tableColumn id="9" xr3:uid="{B8C54DA3-C706-4A80-AC99-115F3658C42C}" name="Downtime/Month (Hours)" dataDxfId="1110">
      <calculatedColumnFormula>Table47258588136[[#This Row],[Downtime/Year (Hours)]]/12</calculatedColumnFormula>
    </tableColumn>
    <tableColumn id="11" xr3:uid="{7A7ABC92-B037-45EB-BA43-803E1F937467}" name="Downtime/Month (Minutes)" dataDxfId="1109">
      <calculatedColumnFormula>Table47258588136[[#This Row],[Downtime/Month (Hours)]]*60</calculatedColumnFormula>
    </tableColumn>
    <tableColumn id="4" xr3:uid="{C3A70188-B42A-4BA8-ADA7-D81861083AB4}" name="Reliability Score 1" dataDxfId="1108"/>
    <tableColumn id="5" xr3:uid="{10F785F3-08B5-437B-B4D2-7830F590CC12}" name="Secure Score 3 4" dataDxfId="1107"/>
    <tableColumn id="6" xr3:uid="{121CD281-4E48-4639-8919-F0CE7E50F8EC}" name="RPO (Hours)" dataDxfId="1106"/>
    <tableColumn id="7" xr3:uid="{AFA83102-B33A-420A-9ED1-8CE3EB6BD160}" name="RTO (Hours)" dataDxfId="1105"/>
  </tableColumns>
  <tableStyleInfo name="TableStyleLight4" showFirstColumn="0" showLastColumn="0" showRowStripes="1" showColumnStripes="0"/>
</table>
</file>

<file path=xl/tables/table6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6" xr:uid="{A3C6F8C8-8760-46CA-ADCB-E83988560F4F}" name="Table8289137" displayName="Table8289137" ref="E328:N331" totalsRowShown="0" headerRowDxfId="1104" dataDxfId="1103">
  <autoFilter ref="E328:N331" xr:uid="{A3C6F8C8-8760-46CA-ADCB-E83988560F4F}"/>
  <tableColumns count="10">
    <tableColumn id="1" xr3:uid="{72C32B75-1162-4669-B695-F9922EB6710C}" name="Summary" dataDxfId="1102"/>
    <tableColumn id="2" xr3:uid="{A424F23A-EBD5-4035-8D22-5AFA99B6C7AD}" name="Composite SLA" dataDxfId="1101">
      <calculatedColumnFormula>#REF!-F328</calculatedColumnFormula>
    </tableColumn>
    <tableColumn id="3" xr3:uid="{79412375-51A3-47A9-82E8-6D2B5D3DA231}" name="Downtime/Year (Days)" dataDxfId="1100">
      <calculatedColumnFormula>G328-#REF!</calculatedColumnFormula>
    </tableColumn>
    <tableColumn id="4" xr3:uid="{37E8E0F0-517D-4175-AEBA-2F053A6E6330}" name="Downtime/Year (Hours)" dataDxfId="1099">
      <calculatedColumnFormula>H328-#REF!</calculatedColumnFormula>
    </tableColumn>
    <tableColumn id="5" xr3:uid="{08DC4DF7-3A22-4081-A350-581E10FA7E80}" name="Downtime/Year (Minutes)" dataDxfId="1098">
      <calculatedColumnFormula>I328-#REF!</calculatedColumnFormula>
    </tableColumn>
    <tableColumn id="6" xr3:uid="{3CC1158A-4EBC-4976-82B0-428E8C700B04}" name="Downtime/Month (Days)" dataDxfId="1097">
      <calculatedColumnFormula>J328-#REF!</calculatedColumnFormula>
    </tableColumn>
    <tableColumn id="7" xr3:uid="{FCC85B54-2BD7-4911-BB1F-DEF96936AFDF}" name="Downtime/Month (Hours)" dataDxfId="1096">
      <calculatedColumnFormula>K328-#REF!</calculatedColumnFormula>
    </tableColumn>
    <tableColumn id="8" xr3:uid="{BD209248-0BB5-46DF-8428-04D28C99B578}" name="Downtime/Month (Minutes)" dataDxfId="1095">
      <calculatedColumnFormula>L328-#REF!</calculatedColumnFormula>
    </tableColumn>
    <tableColumn id="9" xr3:uid="{37351162-CD4D-4547-842C-1ECD56ED4E23}" name="Composite Reliability" dataDxfId="1094">
      <calculatedColumnFormula>M328-#REF!</calculatedColumnFormula>
    </tableColumn>
    <tableColumn id="10" xr3:uid="{4FA45E0A-4026-439F-B6A4-02E9B232B656}" name="Composite _x000a_Secure Score" dataDxfId="1093">
      <calculatedColumnFormula>N328-#REF!</calculatedColumnFormula>
    </tableColumn>
  </tableColumns>
  <tableStyleInfo name="TableStyleLight4" showFirstColumn="0" showLastColumn="0" showRowStripes="1" showColumnStripes="0"/>
</table>
</file>

<file path=xl/tables/table6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7" xr:uid="{7865B00A-E751-407C-9025-F7E2ED4974C8}" name="Table472590138" displayName="Table472590138" ref="D342:P349" totalsRowShown="0" headerRowDxfId="1092" dataDxfId="1091">
  <autoFilter ref="D342:P349" xr:uid="{7865B00A-E751-407C-9025-F7E2ED4974C8}"/>
  <tableColumns count="13">
    <tableColumn id="2" xr3:uid="{6FD40699-D409-4ECD-888B-47A21675223F}" name="Component" dataDxfId="1090"/>
    <tableColumn id="14" xr3:uid="{EB9D27D8-B4A2-43F5-95F5-80A8CCB35076}" name="Type" dataDxfId="1089"/>
    <tableColumn id="3" xr3:uid="{9AE0F450-C127-418D-ACFB-E8B6E106BD71}" name="SLA" dataDxfId="1088"/>
    <tableColumn id="12" xr3:uid="{CEE45607-75CF-4380-9673-3D6B17F8B20E}" name="Downtime/Year (Days)" dataDxfId="1087">
      <calculatedColumnFormula>(365) - Table472590138[[#This Row],[SLA]]*(365)</calculatedColumnFormula>
    </tableColumn>
    <tableColumn id="8" xr3:uid="{529D160E-DF11-467E-8B00-1B64D5A00A31}" name="Downtime/Year (Hours)" dataDxfId="1086">
      <calculatedColumnFormula>(24*365) - Table472590138[[#This Row],[SLA]]*(24*365)</calculatedColumnFormula>
    </tableColumn>
    <tableColumn id="10" xr3:uid="{C39160E5-F699-40AF-92C6-6211B0347F3E}" name="Downtime/Year (Minutes)" dataDxfId="1085">
      <calculatedColumnFormula>Table472590138[[#This Row],[Downtime/Year (Hours)]]*60</calculatedColumnFormula>
    </tableColumn>
    <tableColumn id="13" xr3:uid="{39330E1D-4B46-47A8-A461-CCE07B229EF2}" name="Downtime/Month (Days)" dataDxfId="1084">
      <calculatedColumnFormula>Table472590138[[#This Row],[Downtime/Month (Hours)]]/24</calculatedColumnFormula>
    </tableColumn>
    <tableColumn id="9" xr3:uid="{685D0D2D-C492-45C7-A65E-0BE6BE5B6B90}" name="Downtime/Month (Hours)" dataDxfId="1083">
      <calculatedColumnFormula>Table472590138[[#This Row],[Downtime/Year (Hours)]]/12</calculatedColumnFormula>
    </tableColumn>
    <tableColumn id="11" xr3:uid="{29897364-D5DE-4781-897F-5ED667A4352F}" name="Downtime/Month (Minutes)" dataDxfId="1082">
      <calculatedColumnFormula>Table472590138[[#This Row],[Downtime/Month (Hours)]]*60</calculatedColumnFormula>
    </tableColumn>
    <tableColumn id="4" xr3:uid="{E37DE024-F45D-4CC4-A2B8-E5ADA6A3A862}" name="Reliability Score 1" dataDxfId="1081"/>
    <tableColumn id="5" xr3:uid="{67BAAF7A-F952-4234-BB5F-CC6F90351713}" name="Secure Score 3 4" dataDxfId="1080"/>
    <tableColumn id="6" xr3:uid="{9DEF8109-FB5F-4EBE-9A1F-02442EB99229}" name="RPO (Hours)" dataDxfId="1079"/>
    <tableColumn id="7" xr3:uid="{3DBA74E2-4754-47B5-8A51-A8801EF04514}" name="RTO (Hours)" dataDxfId="1078"/>
  </tableColumns>
  <tableStyleInfo name="TableStyleLight4" showFirstColumn="0" showLastColumn="0" showRowStripes="1" showColumnStripes="0"/>
</table>
</file>

<file path=xl/tables/table6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2" xr:uid="{AA6CE541-4D73-4B50-A377-ECB90300C570}" name="Table47958583" displayName="Table47958583" ref="D57:Q70" headerRowDxfId="1043" dataDxfId="1042" totalsRowDxfId="1041">
  <autoFilter ref="D57:Q70" xr:uid="{AA6CE541-4D73-4B50-A377-ECB90300C570}"/>
  <tableColumns count="14">
    <tableColumn id="1" xr3:uid="{1F3B0B3E-8035-4DF7-8AA7-AA976CD5032B}" name="Service" totalsRowLabel="Total" dataDxfId="1039" totalsRowDxfId="1040"/>
    <tableColumn id="2" xr3:uid="{D9DE9A18-4742-4939-A7CB-609A3ACA809C}" name="Pricing Tier" dataDxfId="1037" totalsRowDxfId="1038"/>
    <tableColumn id="11" xr3:uid="{BBEC1EFB-C4A1-4F4D-828F-9E45FEDB8CB9}" name="Consumption (USD)" dataDxfId="1036"/>
    <tableColumn id="3" xr3:uid="{37EC243A-771E-488F-9D42-C9D1A526E09A}" name="Licensing (USD)" dataDxfId="1035"/>
    <tableColumn id="39" xr3:uid="{32EC5036-6321-4EF8-A578-9A9B6034D3A4}" name="Redeployment (USD)" dataDxfId="1034"/>
    <tableColumn id="40" xr3:uid="{F1476429-279B-4B3E-8E31-5A3DD4F741EA}" name="Maintenance (USD)" dataDxfId="1033"/>
    <tableColumn id="46" xr3:uid="{A4DB2EC4-65FE-4F36-B7A5-C3BE5DA35351}" name="Security (USD)" dataDxfId="1032"/>
    <tableColumn id="12" xr3:uid="{A80FB047-2A17-448F-AC5E-BC72CFD26929}" name="Availability (USD)" dataDxfId="1031"/>
    <tableColumn id="13" xr3:uid="{D966275E-65F4-4956-9056-CEE64BBEB61F}" name="Recovery (USD)" dataDxfId="1030"/>
    <tableColumn id="14" xr3:uid="{F0E33335-0366-438E-A690-C2E09FF538A7}" name="Validation and Testing Labor (USD)" dataDxfId="1029"/>
    <tableColumn id="15" xr3:uid="{31A8AA9D-8D87-4F8E-B746-9ECCCD842661}" name="Load Testing (USD)" dataDxfId="1028"/>
    <tableColumn id="16" xr3:uid="{DB4BCEEE-023C-4847-A048-8C3A6039FDFE}" name="Chaos Engineering (USD)" dataDxfId="1027"/>
    <tableColumn id="17" xr3:uid="{15148A77-E5C5-4D35-9CEF-6FF918B0CC53}" name="Vendor Support (USD)" dataDxfId="1026"/>
    <tableColumn id="18" xr3:uid="{4E12D3FE-D873-45F1-AA77-998E773ACC97}" name="Total (USD)" totalsRowFunction="count" dataDxfId="1025">
      <calculatedColumnFormula>SUM(F58:P58)</calculatedColumnFormula>
    </tableColumn>
  </tableColumns>
  <tableStyleInfo name="TableStyleLight4" showFirstColumn="1" showLastColumn="0" showRowStripes="1" showColumnStripes="0"/>
</table>
</file>

<file path=xl/tables/table6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3" xr:uid="{026FFA82-9D9A-4F79-84C0-B54668A72BBD}" name="Table47984" displayName="Table47984" ref="D40:Q51" headerRowDxfId="1024" dataDxfId="1023" totalsRowDxfId="1022">
  <autoFilter ref="D40:Q51" xr:uid="{026FFA82-9D9A-4F79-84C0-B54668A72BBD}"/>
  <tableColumns count="14">
    <tableColumn id="1" xr3:uid="{C92D8860-086A-41ED-95C0-C3C2F1F06C1B}" name="Service" totalsRowLabel="Total" dataDxfId="1020" totalsRowDxfId="1021"/>
    <tableColumn id="20" xr3:uid="{6B99226C-AE50-45CF-98E1-E3C74A114F00}" name="Pricing Tier" dataDxfId="1018" totalsRowDxfId="1019"/>
    <tableColumn id="11" xr3:uid="{20053BEE-89E9-4B19-A09A-47D95AE73427}" name="Consumption (USD)" dataDxfId="1017"/>
    <tableColumn id="3" xr3:uid="{CC850EDC-9D86-4CF8-AF52-4E1254C229EA}" name="Licensing (USD)" dataDxfId="1016"/>
    <tableColumn id="39" xr3:uid="{36913B7F-0CF2-4936-AC66-AE694DC7C3FE}" name="Redeployment (USD)" dataDxfId="1015"/>
    <tableColumn id="40" xr3:uid="{20F5AAC0-7622-49F9-ADBC-46A57AE8766B}" name="Maintenance (USD)" dataDxfId="1014"/>
    <tableColumn id="46" xr3:uid="{3C451FB8-9A53-491E-8998-3FB8A4C90EEF}" name="Security (USD)" dataDxfId="1013"/>
    <tableColumn id="12" xr3:uid="{CFB16B67-96E3-4405-9D55-97A6430BA0DD}" name="Availability (USD)" dataDxfId="1012"/>
    <tableColumn id="13" xr3:uid="{ECE9F926-D111-4203-A465-BA172018C779}" name="Recovery (USD)" dataDxfId="1011"/>
    <tableColumn id="14" xr3:uid="{5957B547-2FC3-4456-9E3C-33DC1AC08A61}" name="Validation and Testing Labor (USD)" dataDxfId="1010"/>
    <tableColumn id="15" xr3:uid="{A7F9C587-CE67-41E5-81D2-29BD6A3E8A9A}" name="Load Testing (USD)" dataDxfId="1009"/>
    <tableColumn id="16" xr3:uid="{E577EB72-1BEB-4FE3-859E-C8B33F277840}" name="Chaos Engineering (USD)" dataDxfId="1008"/>
    <tableColumn id="17" xr3:uid="{DC996B18-A0A4-4A83-8D01-4D2304C527AB}" name="Vendor Support (USD)" dataDxfId="1007"/>
    <tableColumn id="18" xr3:uid="{AB77A17B-0BBD-469C-AA53-B0FD2FFFD5AF}" name="Total (USD)" totalsRowFunction="count" dataDxfId="1006">
      <calculatedColumnFormula>SUM(Table47984[[#This Row],[Consumption (USD)]:[Vendor Support (USD)]])</calculatedColumnFormula>
    </tableColumn>
  </tableColumns>
  <tableStyleInfo name="TableStyleLight4" showFirstColumn="1" showLastColumn="0" showRowStripes="1" showColumnStripes="0"/>
</table>
</file>

<file path=xl/tables/table6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2ABC21D8-B26C-472B-B78A-4E07BE7A1DB8}" name="Table846" displayName="Table846" ref="E31:Q34" totalsRowShown="0" headerRowDxfId="1005" dataDxfId="1004">
  <autoFilter ref="E31:Q34" xr:uid="{2ABC21D8-B26C-472B-B78A-4E07BE7A1DB8}"/>
  <tableColumns count="13">
    <tableColumn id="1" xr3:uid="{4D46B35A-957D-4B80-AE53-7BCB193E29DA}" name="Summary" dataDxfId="1003"/>
    <tableColumn id="2" xr3:uid="{A93681DC-DB50-4FA3-AF56-351DDD7F224A}" name="Consumption (USD)" dataDxfId="1002"/>
    <tableColumn id="3" xr3:uid="{209F0109-65EC-440E-808F-6183A2CB2AA5}" name="Licensing (USD)" dataDxfId="1001"/>
    <tableColumn id="4" xr3:uid="{E76C7126-F9D1-498D-A3C0-51D84AFCB5CA}" name="Redeployment (USD)" dataDxfId="1000"/>
    <tableColumn id="5" xr3:uid="{8180BA6B-3CEC-4F1C-B9F7-23624959309C}" name="Maintenance (USD)" dataDxfId="999"/>
    <tableColumn id="6" xr3:uid="{7DD7FB48-3CE5-477B-ACD0-B9609873D22E}" name="Security (USD)" dataDxfId="998"/>
    <tableColumn id="7" xr3:uid="{9E15D376-77FF-492E-989D-DF45C1F262ED}" name="Availability (USD)" dataDxfId="997"/>
    <tableColumn id="8" xr3:uid="{2AE5A9B3-6D26-4B43-9F9E-3263AA320669}" name="Recovery (USD)" dataDxfId="996"/>
    <tableColumn id="9" xr3:uid="{01FA1E09-4EBC-46B0-BC3D-BF76299B6B24}" name="Validation and Testing Labor (USD)" dataDxfId="995"/>
    <tableColumn id="10" xr3:uid="{905643F0-5F2D-49FD-8263-9FEE96879257}" name="Load Testing (USD)" dataDxfId="994"/>
    <tableColumn id="11" xr3:uid="{4EA06CC8-0CE6-42A0-B876-A321ED02B4A2}" name="Chaos Engineering (USD)" dataDxfId="993"/>
    <tableColumn id="12" xr3:uid="{ED76F06B-7EF1-4419-B5BD-FF01EE441BC3}" name="Vendor Support (USD)" dataDxfId="992"/>
    <tableColumn id="13" xr3:uid="{814592C8-EF27-4689-BD56-F25B7F9B8E70}" name="Total (USD)" dataDxfId="991"/>
  </tableColumns>
  <tableStyleInfo name="TableStyleLight4" showFirstColumn="0" showLastColumn="0" showRowStripes="1" showColumnStripes="0"/>
</table>
</file>

<file path=xl/tables/table6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98357CC8-07F3-46EF-A58E-7A2E42941DED}" name="Table4795858340" displayName="Table4795858340" ref="D101:Q109" headerRowDxfId="990" dataDxfId="989" totalsRowDxfId="988">
  <autoFilter ref="D101:Q109" xr:uid="{98357CC8-07F3-46EF-A58E-7A2E42941DED}"/>
  <tableColumns count="14">
    <tableColumn id="1" xr3:uid="{92DEB8ED-B393-42F0-84A5-E7E6BAD5937C}" name="Service" totalsRowLabel="Total" dataDxfId="986" totalsRowDxfId="987"/>
    <tableColumn id="2" xr3:uid="{5FFCD2B6-33BF-47A2-87EE-E1C31672A0CC}" name="Pricing Tier" dataDxfId="984" totalsRowDxfId="985"/>
    <tableColumn id="11" xr3:uid="{2A74EFA9-EF06-4CE7-ADFB-ED7025B535A5}" name="Consumption (USD)" dataDxfId="983"/>
    <tableColumn id="3" xr3:uid="{DF74A5DA-8F9B-439B-ACD7-4D49FED69DD9}" name="Licensing (USD)" dataDxfId="982"/>
    <tableColumn id="39" xr3:uid="{6435835A-C336-4490-B0EE-EA8B682DC341}" name="Redeployment (USD)" dataDxfId="981"/>
    <tableColumn id="40" xr3:uid="{BA66135A-0DC4-4016-8FEF-DC275716281E}" name="Maintenance (USD)" dataDxfId="980"/>
    <tableColumn id="46" xr3:uid="{1BACE236-2366-413B-8687-EBA92DCC4F4F}" name="Security (USD)" dataDxfId="979"/>
    <tableColumn id="12" xr3:uid="{5DCBCA25-E2A0-4F73-8F84-81397BFDDB76}" name="Availability (USD)" dataDxfId="978"/>
    <tableColumn id="13" xr3:uid="{A0137E45-9D72-4B6D-AA4C-ACB9C698012B}" name="Recovery (USD)" dataDxfId="977"/>
    <tableColumn id="14" xr3:uid="{0DE1193E-864F-43CB-9489-598F48092FCC}" name="Validation and Testing Labor (USD)" dataDxfId="976"/>
    <tableColumn id="15" xr3:uid="{F943590F-1D31-436E-ABA0-7AF693B39279}" name="Load Testing (USD)" dataDxfId="975"/>
    <tableColumn id="16" xr3:uid="{E68E8EF3-3CC1-43F0-908A-5E36EA3B6B66}" name="Chaos Engineering (USD)" dataDxfId="974"/>
    <tableColumn id="17" xr3:uid="{D43FAD70-9982-40D0-AE47-FC3BF6B0D28C}" name="Vendor Support (USD)" dataDxfId="973"/>
    <tableColumn id="18" xr3:uid="{00E7B3A1-DAFE-4D83-85E1-6ACE251FA709}" name="Total (USD)" totalsRowFunction="count" dataDxfId="972">
      <calculatedColumnFormula>SUM(F102:P102)</calculatedColumnFormula>
    </tableColumn>
  </tableColumns>
  <tableStyleInfo name="TableStyleLight4" showFirstColumn="1" showLastColumn="0" showRowStripes="1" showColumnStripes="0"/>
</table>
</file>

<file path=xl/tables/table6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5" xr:uid="{402EA201-DCE4-49EE-848E-E4DEE07D1AFA}" name="Table4798446" displayName="Table4798446" ref="D89:Q95" headerRowDxfId="971" dataDxfId="970" totalsRowDxfId="969">
  <autoFilter ref="D89:Q95" xr:uid="{402EA201-DCE4-49EE-848E-E4DEE07D1AFA}"/>
  <tableColumns count="14">
    <tableColumn id="1" xr3:uid="{F9CD379B-E8DF-4DA0-8265-7023E35B5E49}" name="Service" totalsRowLabel="Total" dataDxfId="967" totalsRowDxfId="968"/>
    <tableColumn id="20" xr3:uid="{D3673F52-2DF2-442E-B9CF-F8ED043CBD87}" name="Pricing Tier" dataDxfId="965" totalsRowDxfId="966"/>
    <tableColumn id="11" xr3:uid="{6EA29DD2-7180-479A-B9DC-09FA58251A9F}" name="Consumption (USD)" dataDxfId="964"/>
    <tableColumn id="3" xr3:uid="{B9A847D0-5E76-4FCD-8F00-CB3E46584DE5}" name="Licensing (USD)" dataDxfId="963"/>
    <tableColumn id="39" xr3:uid="{45D69714-4F37-4FDE-AD35-0DC3CC6F5E71}" name="Redeployment (USD)" dataDxfId="962"/>
    <tableColumn id="40" xr3:uid="{1FE5FE93-C31B-4770-8E86-356A9FEEDC0A}" name="Maintenance (USD)" dataDxfId="961"/>
    <tableColumn id="46" xr3:uid="{B7901C8A-E41E-42C6-BE67-5BDD6528FAE5}" name="Security (USD)" dataDxfId="960"/>
    <tableColumn id="12" xr3:uid="{0077DB74-4A30-4F1F-9823-EAB1B7E77C29}" name="Availability (USD)" dataDxfId="959"/>
    <tableColumn id="13" xr3:uid="{F9319E55-2387-42EF-8CAD-03C56471D08D}" name="Recovery (USD)" dataDxfId="958"/>
    <tableColumn id="14" xr3:uid="{20030D1A-5D71-46B3-8D6E-33313BED9503}" name="Validation and Testing Labor (USD)" dataDxfId="957"/>
    <tableColumn id="15" xr3:uid="{9B37C8CC-DA23-4E21-A87D-9522E517C890}" name="Load Testing (USD)" dataDxfId="956"/>
    <tableColumn id="16" xr3:uid="{3DA91BA0-82EF-48F6-80EE-8A8655E04AEB}" name="Chaos Engineering (USD)" dataDxfId="955"/>
    <tableColumn id="17" xr3:uid="{8B1366BB-50C1-4D2D-AE2C-B524DD068B26}" name="Vendor Support (USD)" dataDxfId="954"/>
    <tableColumn id="18" xr3:uid="{89A87A0D-9EF5-47B0-AF59-64EA3314813C}" name="Total (USD)" totalsRowFunction="count" dataDxfId="953">
      <calculatedColumnFormula>SUM(Table4798446[[#This Row],[Consumption (USD)]:[Vendor Support (USD)]])</calculatedColumnFormula>
    </tableColumn>
  </tableColumns>
  <tableStyleInfo name="TableStyleLight4" showFirstColumn="1" showLastColumn="0" showRowStripes="1" showColumnStripes="0"/>
</table>
</file>

<file path=xl/tables/table6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6" xr:uid="{B9AF1F01-6243-4F50-A9EF-12B5FBCD9B50}" name="Table84647" displayName="Table84647" ref="E80:Q83" totalsRowShown="0" headerRowDxfId="952" dataDxfId="951">
  <autoFilter ref="E80:Q83" xr:uid="{B9AF1F01-6243-4F50-A9EF-12B5FBCD9B50}"/>
  <tableColumns count="13">
    <tableColumn id="1" xr3:uid="{5E4A6D70-C58E-415A-BF5A-738ADE6D7F8B}" name="Summary" dataDxfId="950"/>
    <tableColumn id="2" xr3:uid="{72E4702D-AFD3-4D38-A660-DC43AE478021}" name="Consumption (USD)" dataDxfId="949"/>
    <tableColumn id="3" xr3:uid="{A499E401-BA54-49E3-8BAA-F8B3A94A5951}" name="Licensing (USD)" dataDxfId="948"/>
    <tableColumn id="4" xr3:uid="{AD418CB5-169B-455E-9B69-103EC3DB560D}" name="Redeployment (USD)" dataDxfId="947"/>
    <tableColumn id="5" xr3:uid="{1806ACE6-7E59-4556-9EA2-15A1533D86F7}" name="Maintenance (USD)" dataDxfId="946"/>
    <tableColumn id="6" xr3:uid="{6147FC0A-D001-4BA6-931A-746BF9B88471}" name="Security (USD)" dataDxfId="945"/>
    <tableColumn id="7" xr3:uid="{EDD40E12-55E7-4420-BAB1-14466923D274}" name="Availability (USD)" dataDxfId="944"/>
    <tableColumn id="8" xr3:uid="{12476DF8-AF6A-4DB7-9D7C-C891ECE1CBA0}" name="Recovery (USD)" dataDxfId="943"/>
    <tableColumn id="9" xr3:uid="{5D8976F3-E4EE-45BB-A368-99241A163518}" name="Validation and Testing Labor (USD)" dataDxfId="942"/>
    <tableColumn id="10" xr3:uid="{30CCDA6E-A19A-4040-A56E-4A03C8E4CC59}" name="Load Testing (USD)" dataDxfId="941"/>
    <tableColumn id="11" xr3:uid="{45807414-8A9A-4578-8ED6-72E3BD4E52A3}" name="Chaos Engineering (USD)" dataDxfId="940"/>
    <tableColumn id="12" xr3:uid="{ED7CAA61-593A-4130-964E-EFD371D9D23A}" name="Vendor Support (USD)" dataDxfId="939"/>
    <tableColumn id="13" xr3:uid="{F13311DF-1064-4819-A8DC-462B1C359A9D}" name="Total (USD)" dataDxfId="938"/>
  </tableColumns>
  <tableStyleInfo name="TableStyleLight4"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5" xr:uid="{8763012C-7322-4B5D-84D4-80E9216F1890}" name="Table317996" displayName="Table317996" ref="D25:AA46" totalsRowShown="0" headerRowDxfId="1884" dataDxfId="1883">
  <autoFilter ref="D25:AA46" xr:uid="{8763012C-7322-4B5D-84D4-80E9216F1890}"/>
  <tableColumns count="24">
    <tableColumn id="1" xr3:uid="{A1A874BE-29CA-464E-91B4-D53B42BD2C03}" name="Test (1)" dataDxfId="1882"/>
    <tableColumn id="19" xr3:uid="{81D5B323-278D-4BAB-92E4-1198D0E11557}" name="Business Function" dataDxfId="1881"/>
    <tableColumn id="2" xr3:uid="{FC12EA3B-6A47-4FAA-BFD5-B749F752F9FC}" name="Description" dataDxfId="1880"/>
    <tableColumn id="17" xr3:uid="{AA0C38AA-ACF7-440B-B8B8-07CA87808955}" name="Shift 1" dataDxfId="1879"/>
    <tableColumn id="14" xr3:uid="{02C4FE88-FB07-4EF4-A85D-15F0475ADBFF}" name="Test Type 2" dataDxfId="1878"/>
    <tableColumn id="18" xr3:uid="{34780489-00BB-4317-BBA3-868BE9887085}" name="Frequency" dataDxfId="1877"/>
    <tableColumn id="10" xr3:uid="{C1E8E105-8467-48FA-8011-A2B11C8AF753}" name="Last Test" dataDxfId="1876"/>
    <tableColumn id="12" xr3:uid="{42BF8098-569A-4165-8BEE-E91823EF673D}" name="Last Functional  Result" dataDxfId="1875"/>
    <tableColumn id="5" xr3:uid="{AAECACFB-BF8B-48FC-8D2D-8519D271DD49}" name="Last Performance Result" dataDxfId="1874"/>
    <tableColumn id="21" xr3:uid="{6F958EDA-F02A-4497-872A-31DA4649A759}" name="Duration (Hours)" dataDxfId="1873"/>
    <tableColumn id="23" xr3:uid="{93BCFA34-7412-48E3-ADA7-B4E618774407}" name="Recovery Point Achieved" dataDxfId="1872"/>
    <tableColumn id="20" xr3:uid="{A673FF2B-1E69-4018-9F2C-0FD2FD3FE028}" name="Recovery Time Achieved" dataDxfId="1871"/>
    <tableColumn id="24" xr3:uid="{7799EAEF-1098-46C1-847C-BFF0D6A0750F}" name="Roles" dataDxfId="1870"/>
    <tableColumn id="22" xr3:uid="{01DD8F1F-8CAE-4E40-A056-11B751262FEA}" name="Cost (USD)" dataDxfId="1869"/>
    <tableColumn id="11" xr3:uid="{F3ADE2E2-9856-49FC-B7C7-0273ADB67179}" name="Next Test" dataDxfId="1868"/>
    <tableColumn id="7" xr3:uid="{3EC29ABA-EF53-4220-B7B1-D552FC1A11B0}" name="Automated (2)" dataDxfId="1867"/>
    <tableColumn id="8" xr3:uid="{7BA9404C-3B9F-4F72-980E-3A78D012EBFC}" name="Scheduled (3)" dataDxfId="1866"/>
    <tableColumn id="6" xr3:uid="{FE82647F-0CF5-43F3-A650-1EE064C8C99F}" name="References (5)" dataDxfId="1865"/>
    <tableColumn id="9" xr3:uid="{97427DCC-8EDF-40DD-9119-64E2383115D5}" name="Test Order (6)" dataDxfId="1864"/>
    <tableColumn id="16" xr3:uid="{E8481583-1A7B-4476-B1CB-B724DB71D038}" name="Business Owner" dataDxfId="1863"/>
    <tableColumn id="4" xr3:uid="{3E84A41A-1DE5-4750-807A-97DE1F3724DE}" name="BCDR Engineer" dataDxfId="1862"/>
    <tableColumn id="15" xr3:uid="{F40261BD-12F4-4421-9294-7D2C18E6FBFC}" name="UAT Tester" dataDxfId="1861"/>
    <tableColumn id="3" xr3:uid="{FF175403-B80F-4FF9-B905-060A33DBDB5F}" name="Test Plan" dataDxfId="1860"/>
    <tableColumn id="13" xr3:uid="{62151170-0109-4CE8-AC0F-9DD5F06DB6DA}" name="Comments" dataDxfId="1859"/>
  </tableColumns>
  <tableStyleInfo name="TableStyleLight4" showFirstColumn="0" showLastColumn="0" showRowStripes="1" showColumnStripes="0"/>
</table>
</file>

<file path=xl/tables/table7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0" xr:uid="{6D79AEEB-2263-417D-93A1-67DBCE7AC3DC}" name="Table4795858351" displayName="Table4795858351" ref="D139:Q146" headerRowDxfId="937" dataDxfId="936" totalsRowDxfId="935">
  <autoFilter ref="D139:Q146" xr:uid="{6D79AEEB-2263-417D-93A1-67DBCE7AC3DC}"/>
  <tableColumns count="14">
    <tableColumn id="1" xr3:uid="{A37A197B-F846-40CA-867E-3D7B0AAA5EB8}" name="Service" totalsRowLabel="Total" dataDxfId="933" totalsRowDxfId="934"/>
    <tableColumn id="2" xr3:uid="{32618FF8-C470-49BE-9ECA-1A376303EE44}" name="Pricing Tier" dataDxfId="931" totalsRowDxfId="932"/>
    <tableColumn id="11" xr3:uid="{DD27F3EB-DF0E-4ABD-B75B-A8CE237B7F76}" name="Consumption (USD)" dataDxfId="930" dataCellStyle="Currency"/>
    <tableColumn id="3" xr3:uid="{B9AD5F6D-F29A-4A2B-AAEB-D423C0B4C91C}" name="Licensing (USD)" dataDxfId="929" dataCellStyle="Currency"/>
    <tableColumn id="39" xr3:uid="{66498083-3544-488D-9348-54859F8CD2BA}" name="Redeployment (USD)" dataDxfId="928" dataCellStyle="Currency"/>
    <tableColumn id="40" xr3:uid="{2EB291EF-39A2-4163-8925-645FFD501C04}" name="Maintenance (USD)" dataDxfId="927" dataCellStyle="Currency"/>
    <tableColumn id="46" xr3:uid="{51E9B01C-AF90-45F0-81A0-1EC61F43DCC1}" name="Security (USD)" dataDxfId="926" dataCellStyle="Currency"/>
    <tableColumn id="12" xr3:uid="{34573562-7871-4D00-B11E-3AC1034C7902}" name="Availability (USD)" dataDxfId="925" dataCellStyle="Currency"/>
    <tableColumn id="13" xr3:uid="{08EB8D5C-D87A-4D40-9E79-BF192270873D}" name="Recovery (USD)" dataDxfId="924" dataCellStyle="Currency"/>
    <tableColumn id="14" xr3:uid="{CAE3E0C3-460E-4356-A736-32EF4937F598}" name="Validation and Testing Labor (USD)" dataDxfId="923" dataCellStyle="Currency"/>
    <tableColumn id="15" xr3:uid="{8B00071B-E62C-4941-A9A7-625B0EDCBB6D}" name="Load Testing (USD)" dataDxfId="922" dataCellStyle="Currency"/>
    <tableColumn id="16" xr3:uid="{C39B2DC9-1AF6-4582-A4FC-04D3832B7C29}" name="Chaos Engineering (USD)" dataDxfId="921" dataCellStyle="Currency"/>
    <tableColumn id="17" xr3:uid="{3E7E7965-D106-4A78-8A12-FA2AE0022758}" name="Vendor Support (USD)" dataDxfId="920" dataCellStyle="Currency"/>
    <tableColumn id="18" xr3:uid="{09F0D10C-1234-4B98-9CD6-EAED2EBB2F62}" name="Total (USD)" totalsRowFunction="count" dataDxfId="919" dataCellStyle="Currency">
      <calculatedColumnFormula>SUM(F140:P140)</calculatedColumnFormula>
    </tableColumn>
  </tableColumns>
  <tableStyleInfo name="TableStyleLight4" showFirstColumn="1" showLastColumn="0" showRowStripes="1" showColumnStripes="0"/>
</table>
</file>

<file path=xl/tables/table7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5" xr:uid="{062E4B9F-BB4E-4D71-8AE7-EBF54EC5812D}" name="Table4798456" displayName="Table4798456" ref="D128:Q133" headerRowDxfId="918" dataDxfId="917" totalsRowDxfId="916">
  <autoFilter ref="D128:Q133" xr:uid="{062E4B9F-BB4E-4D71-8AE7-EBF54EC5812D}"/>
  <tableColumns count="14">
    <tableColumn id="1" xr3:uid="{BABE0A0D-5165-4415-A6FD-6630C802163B}" name="Service" totalsRowLabel="Total" dataDxfId="914" totalsRowDxfId="915"/>
    <tableColumn id="20" xr3:uid="{9CE15636-6B6E-4F27-B6F1-200B87140931}" name="Pricing Tier" dataDxfId="912" totalsRowDxfId="913"/>
    <tableColumn id="11" xr3:uid="{700465CE-664C-46DC-9A40-B8CA80669A95}" name="Consumption (USD)" dataDxfId="911"/>
    <tableColumn id="3" xr3:uid="{7E6F7E52-990C-467E-A93E-6717A1045828}" name="Licensing (USD)" dataDxfId="910"/>
    <tableColumn id="39" xr3:uid="{E456DB4F-61A8-46E5-9C31-2DDA420EECA0}" name="Redeployment (USD)" dataDxfId="909"/>
    <tableColumn id="40" xr3:uid="{1836D01E-0BF9-4B63-8073-9C91E48019BF}" name="Maintenance (USD)" dataDxfId="908"/>
    <tableColumn id="46" xr3:uid="{70F03000-019F-4DE4-B267-CAEF1B76A15F}" name="Security (USD)" dataDxfId="907"/>
    <tableColumn id="12" xr3:uid="{FCE3F7D6-C6A2-4C4F-9512-1090078B41A8}" name="Availability (USD)" dataDxfId="906"/>
    <tableColumn id="13" xr3:uid="{49397BC0-2129-49AD-9B99-031C01FCE0E5}" name="Recovery (USD)" dataDxfId="905"/>
    <tableColumn id="14" xr3:uid="{320ED2B1-FF71-4D44-A68C-4AC203AFC5EF}" name="Validation and Testing Labor (USD)" dataDxfId="904"/>
    <tableColumn id="15" xr3:uid="{96405685-1421-49FF-973B-1E668F31EEBD}" name="Load Testing (USD)" dataDxfId="903"/>
    <tableColumn id="16" xr3:uid="{33017287-E9B0-45C8-B493-3B761A5C5506}" name="Chaos Engineering (USD)" dataDxfId="902"/>
    <tableColumn id="17" xr3:uid="{1CBE99FD-C975-41D6-8904-81A894E276E1}" name="Vendor Support (USD)" dataDxfId="901"/>
    <tableColumn id="18" xr3:uid="{12771C5C-2BDB-498C-B5B3-DC5A0DB46CA8}" name="Total (USD)" totalsRowFunction="count" dataDxfId="900">
      <calculatedColumnFormula>SUM(Table4798456[[#This Row],[Consumption (USD)]:[Vendor Support (USD)]])</calculatedColumnFormula>
    </tableColumn>
  </tableColumns>
  <tableStyleInfo name="TableStyleLight4" showFirstColumn="1" showLastColumn="0" showRowStripes="1" showColumnStripes="0"/>
</table>
</file>

<file path=xl/tables/table7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1" xr:uid="{B2027D4F-E331-40B5-BFBB-E83FDF12FC08}" name="Table84662" displayName="Table84662" ref="E119:Q122" totalsRowShown="0" headerRowDxfId="899" dataDxfId="898">
  <autoFilter ref="E119:Q122" xr:uid="{B2027D4F-E331-40B5-BFBB-E83FDF12FC08}"/>
  <tableColumns count="13">
    <tableColumn id="1" xr3:uid="{FD823B13-39D6-43EE-AAE2-3F7A336143CA}" name="Summary" dataDxfId="897"/>
    <tableColumn id="2" xr3:uid="{A7D7974A-F05D-4FEB-82FE-E5A897C1712D}" name="Consumption (USD)" dataDxfId="896"/>
    <tableColumn id="3" xr3:uid="{67325018-2CA7-4303-BA2D-58802702AC2F}" name="Licensing (USD)" dataDxfId="895"/>
    <tableColumn id="4" xr3:uid="{012A986B-7331-4F71-8D03-239EE8C63CDC}" name="Redeployment (USD)" dataDxfId="894"/>
    <tableColumn id="5" xr3:uid="{3151B627-7E82-42E7-BE0D-4899A4D7BE01}" name="Maintenance (USD)" dataDxfId="893"/>
    <tableColumn id="6" xr3:uid="{52680379-AC10-4FB1-BD9C-0D471282D00F}" name="Security (USD)" dataDxfId="892"/>
    <tableColumn id="7" xr3:uid="{46606EAD-71E6-41AD-B3DC-37231A15A26C}" name="Availability (USD)" dataDxfId="891"/>
    <tableColumn id="8" xr3:uid="{CC4ED674-107F-4E7F-9D88-701923579FF9}" name="Recovery (USD)" dataDxfId="890"/>
    <tableColumn id="9" xr3:uid="{0F600942-6C41-4BB0-83DA-A04681D76E42}" name="Validation and Testing Labor (USD)" dataDxfId="889"/>
    <tableColumn id="10" xr3:uid="{AFDEDAED-514B-4FC4-98C3-3CE12AD96C18}" name="Load Testing (USD)" dataDxfId="888"/>
    <tableColumn id="11" xr3:uid="{B5167CB6-1A54-4FB6-9692-EC12B65528F7}" name="Chaos Engineering (USD)" dataDxfId="887"/>
    <tableColumn id="12" xr3:uid="{7703EEAA-8925-44A2-9D95-9B49AAF78760}" name="Vendor Support (USD)" dataDxfId="886"/>
    <tableColumn id="13" xr3:uid="{6CD23448-7D1B-4C7E-A2C8-D9E1E77C8103}" name="Total (USD)" dataDxfId="885"/>
  </tableColumns>
  <tableStyleInfo name="TableStyleLight4" showFirstColumn="0" showLastColumn="0" showRowStripes="1" showColumnStripes="0"/>
</table>
</file>

<file path=xl/tables/table7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1" xr:uid="{80A3CA7B-E695-4969-897D-8999282A032A}" name="Table4795858382" displayName="Table4795858382" ref="D179:Q189" headerRowDxfId="884" dataDxfId="883" totalsRowDxfId="882">
  <autoFilter ref="D179:Q189" xr:uid="{80A3CA7B-E695-4969-897D-8999282A032A}"/>
  <tableColumns count="14">
    <tableColumn id="1" xr3:uid="{EDDB564B-3234-4C6A-A306-401CB321140B}" name="Service" totalsRowLabel="Total" dataDxfId="880" totalsRowDxfId="881"/>
    <tableColumn id="2" xr3:uid="{7DBD92C2-7082-4EA4-8B2B-C9B3DA1AB337}" name="Pricing Tier" dataDxfId="878" totalsRowDxfId="879"/>
    <tableColumn id="11" xr3:uid="{11BD4A65-8808-4228-9302-87EC496D4FE6}" name="Consumption (USD)" dataDxfId="877" dataCellStyle="Currency"/>
    <tableColumn id="3" xr3:uid="{B97DF3B3-BA4F-4C13-96DE-C3FECBA90C98}" name="Licensing (USD)" dataDxfId="876" dataCellStyle="Currency"/>
    <tableColumn id="39" xr3:uid="{DF6FA533-B5CE-402B-AD62-5DD7ACEA29E1}" name="Redeployment (USD)" dataDxfId="875" dataCellStyle="Currency"/>
    <tableColumn id="40" xr3:uid="{3469F401-B649-45F6-A721-6AF800715E50}" name="Maintenance (USD)" dataDxfId="874" dataCellStyle="Currency"/>
    <tableColumn id="46" xr3:uid="{0E1436C7-C03A-4BBA-88F2-D02A13B04B1F}" name="Security (USD)" dataDxfId="873" dataCellStyle="Currency"/>
    <tableColumn id="12" xr3:uid="{85E45514-E882-4AFE-A60F-AFF1A28746CC}" name="Availability (USD)" dataDxfId="872" dataCellStyle="Currency"/>
    <tableColumn id="13" xr3:uid="{A4BD6B8F-796F-475B-A935-67ACDEBFB86C}" name="Recovery (USD)" dataDxfId="871" dataCellStyle="Currency"/>
    <tableColumn id="14" xr3:uid="{6E898D2D-4597-4019-AB78-C1A2E51FA114}" name="Validation and Testing Labor (USD)" dataDxfId="870" dataCellStyle="Currency"/>
    <tableColumn id="15" xr3:uid="{9A41A977-6363-48D9-8E53-46435DBB2890}" name="Load Testing (USD)" dataDxfId="869" dataCellStyle="Currency"/>
    <tableColumn id="16" xr3:uid="{DA3F3FF6-EF95-46A0-8199-D18E1FBF2F8E}" name="Chaos Engineering (USD)" dataDxfId="868" dataCellStyle="Currency"/>
    <tableColumn id="17" xr3:uid="{248E4515-1523-44D7-A88C-C19A3A8C4BB9}" name="Vendor Support (USD)" dataDxfId="867" dataCellStyle="Currency"/>
    <tableColumn id="18" xr3:uid="{02BD6CAC-DDF0-4EDA-9F12-C7DBDA4723A4}" name="Total (USD)" totalsRowFunction="count" dataDxfId="866" dataCellStyle="Currency">
      <calculatedColumnFormula>SUM(F180:P180)</calculatedColumnFormula>
    </tableColumn>
  </tableColumns>
  <tableStyleInfo name="TableStyleLight4" showFirstColumn="1" showLastColumn="0" showRowStripes="1" showColumnStripes="0"/>
</table>
</file>

<file path=xl/tables/table7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4" xr:uid="{33188289-E493-40C4-B209-7831C3A05B2B}" name="Table4798485" displayName="Table4798485" ref="D165:Q173" headerRowDxfId="865" dataDxfId="864" totalsRowDxfId="863">
  <autoFilter ref="D165:Q173" xr:uid="{33188289-E493-40C4-B209-7831C3A05B2B}"/>
  <tableColumns count="14">
    <tableColumn id="1" xr3:uid="{93478987-D7FF-4F41-B091-BF31A4832D56}" name="Service" totalsRowLabel="Total" dataDxfId="861" totalsRowDxfId="862"/>
    <tableColumn id="20" xr3:uid="{D0EB4F65-9A32-48A6-A644-FF2AB0730FCB}" name="Pricing Tier" dataDxfId="859" totalsRowDxfId="860"/>
    <tableColumn id="11" xr3:uid="{923036AB-BDFB-4FB0-A2B4-B63272E88D42}" name="Consumption (USD)" dataDxfId="858"/>
    <tableColumn id="3" xr3:uid="{F489D816-BC71-45EF-8E06-A5183F59025F}" name="Licensing (USD)" dataDxfId="857"/>
    <tableColumn id="39" xr3:uid="{5AD89CFF-4C70-4191-B1C7-EE44847D2A50}" name="Redeployment (USD)" dataDxfId="856"/>
    <tableColumn id="40" xr3:uid="{C542BF24-CDBF-4C88-8734-E7ACD8276C03}" name="Maintenance (USD)" dataDxfId="855"/>
    <tableColumn id="46" xr3:uid="{6DD17D9B-8467-4014-968C-D2DB1AB236D6}" name="Security (USD)" dataDxfId="854"/>
    <tableColumn id="12" xr3:uid="{B52E5325-144A-434E-AACA-0C9335C80520}" name="Availability (USD)" dataDxfId="853"/>
    <tableColumn id="13" xr3:uid="{E0844D49-0CA4-41F4-B4DB-ED5E9A2D9DC6}" name="Recovery (USD)" dataDxfId="852"/>
    <tableColumn id="14" xr3:uid="{45FDCBDA-C13D-441A-9991-4188816B33CA}" name="Validation and Testing Labor (USD)" dataDxfId="851"/>
    <tableColumn id="15" xr3:uid="{6EA087BE-F8CC-4881-9509-46D7E53A3C20}" name="Load Testing (USD)" dataDxfId="850"/>
    <tableColumn id="16" xr3:uid="{59A530DC-02BF-4AD7-ACC7-F05A05AEF21E}" name="Chaos Engineering (USD)" dataDxfId="849"/>
    <tableColumn id="17" xr3:uid="{52EFA9BA-3E2C-4C57-905D-EA7D84D72F1B}" name="Vendor Support (USD)" dataDxfId="848"/>
    <tableColumn id="18" xr3:uid="{47A35D91-4D4A-4F24-96E7-90B561AD18F0}" name="Total (USD)" totalsRowFunction="count" dataDxfId="847">
      <calculatedColumnFormula>SUM(Table4798485[[#This Row],[Consumption (USD)]:[Vendor Support (USD)]])</calculatedColumnFormula>
    </tableColumn>
  </tableColumns>
  <tableStyleInfo name="TableStyleLight4" showFirstColumn="1" showLastColumn="0" showRowStripes="1" showColumnStripes="0"/>
</table>
</file>

<file path=xl/tables/table7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0" xr:uid="{69094419-1981-415D-AC3C-0446D6F4790D}" name="Table84691" displayName="Table84691" ref="E156:Q159" totalsRowShown="0" headerRowDxfId="846" dataDxfId="845">
  <autoFilter ref="E156:Q159" xr:uid="{69094419-1981-415D-AC3C-0446D6F4790D}"/>
  <tableColumns count="13">
    <tableColumn id="1" xr3:uid="{B6B8DD1B-8BAB-480D-83E2-9AAE560C424E}" name="Summary" dataDxfId="844"/>
    <tableColumn id="2" xr3:uid="{A0560F57-20D4-4A05-A2D3-7FCC2E5D6DFB}" name="Consumption (USD)" dataDxfId="843"/>
    <tableColumn id="3" xr3:uid="{257DE892-BFF9-40BB-BC6B-7B872AF41DE4}" name="Licensing (USD)" dataDxfId="842"/>
    <tableColumn id="4" xr3:uid="{CCE81F2E-1459-4C46-B705-5D2FB2D38F69}" name="Redeployment (USD)" dataDxfId="841"/>
    <tableColumn id="5" xr3:uid="{F558FF0D-23DD-4D1A-A5B7-10A35A3766AD}" name="Maintenance (USD)" dataDxfId="840"/>
    <tableColumn id="6" xr3:uid="{1E3F7610-4931-46E0-A09B-69459ED24E0A}" name="Security (USD)" dataDxfId="839"/>
    <tableColumn id="7" xr3:uid="{A582CDE5-6024-47E6-A4BF-525A2C20D1C9}" name="Availability (USD)" dataDxfId="838"/>
    <tableColumn id="8" xr3:uid="{7771B837-1EC4-4E27-AAD6-187F81F50D4C}" name="Recovery (USD)" dataDxfId="837"/>
    <tableColumn id="9" xr3:uid="{70A393CB-39E0-44FF-BB1F-8AC26CBF79AD}" name="Validation and Testing Labor (USD)" dataDxfId="836"/>
    <tableColumn id="10" xr3:uid="{28775D9B-96A6-4576-B0E0-CD9A7DB3C68B}" name="Load Testing (USD)" dataDxfId="835"/>
    <tableColumn id="11" xr3:uid="{E84AFCCA-7BA4-47AA-A014-9CEBE95B0ADB}" name="Chaos Engineering (USD)" dataDxfId="834"/>
    <tableColumn id="12" xr3:uid="{75312FB0-30B8-4DDB-86DA-8C3401E7A8D0}" name="Vendor Support (USD)" dataDxfId="833"/>
    <tableColumn id="13" xr3:uid="{90603747-2E5E-4175-8B00-086D423EBAF6}" name="Total (USD)" dataDxfId="832"/>
  </tableColumns>
  <tableStyleInfo name="TableStyleLight4" showFirstColumn="0" showLastColumn="0" showRowStripes="1" showColumnStripes="0"/>
</table>
</file>

<file path=xl/tables/table7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1" xr:uid="{90851E0B-3667-4C4D-965A-423A5BBC8F04}" name="Table4795858392" displayName="Table4795858392" ref="D223:Q234" headerRowDxfId="831" dataDxfId="830" totalsRowDxfId="829">
  <autoFilter ref="D223:Q234" xr:uid="{90851E0B-3667-4C4D-965A-423A5BBC8F04}"/>
  <tableColumns count="14">
    <tableColumn id="1" xr3:uid="{D139E774-60F1-4EF3-B8F2-480CE7D92E12}" name="Service" totalsRowLabel="Total" dataDxfId="827" totalsRowDxfId="828"/>
    <tableColumn id="2" xr3:uid="{D666E9BF-B69A-4DA3-880F-C9BC027F6ECE}" name="Pricing Tier" dataDxfId="825" totalsRowDxfId="826"/>
    <tableColumn id="11" xr3:uid="{A7A81E5E-E8A7-4507-9BF6-F2BAFEAA6861}" name="Consumption (USD)" dataDxfId="824" dataCellStyle="Currency"/>
    <tableColumn id="3" xr3:uid="{B14EC3C5-35E7-4956-A6AB-4F5583329B40}" name="Licensing (USD)" dataDxfId="823" dataCellStyle="Currency"/>
    <tableColumn id="39" xr3:uid="{1551E074-EDD7-4266-A311-4A58175E67F7}" name="Redeployment (USD)" dataDxfId="822" dataCellStyle="Currency"/>
    <tableColumn id="40" xr3:uid="{82016F95-C384-4696-9DEB-1D35901E68D1}" name="Maintenance (USD)" dataDxfId="821" dataCellStyle="Currency"/>
    <tableColumn id="46" xr3:uid="{EDF08975-D003-48E1-A87D-64E69F313455}" name="Security (USD)" dataDxfId="820" dataCellStyle="Currency"/>
    <tableColumn id="12" xr3:uid="{87A5AB5F-79EE-4A9B-B83D-8BB16FFAFD18}" name="Availability (USD)" dataDxfId="819" dataCellStyle="Currency"/>
    <tableColumn id="13" xr3:uid="{B679B88E-BEDE-478E-A0CD-562A093D50D4}" name="Recovery (USD)" dataDxfId="818" dataCellStyle="Currency"/>
    <tableColumn id="14" xr3:uid="{9EEA4482-2658-4E1F-90C4-3E765BBED8F0}" name="Validation and Testing Labor (USD)" dataDxfId="817" dataCellStyle="Currency"/>
    <tableColumn id="15" xr3:uid="{98BA7EA8-1A5F-4BA4-A5D9-9F077616061D}" name="Load Testing (USD)" dataDxfId="816" dataCellStyle="Currency"/>
    <tableColumn id="16" xr3:uid="{07BA0F68-72FC-4C2F-A561-99B6927C0B46}" name="Chaos Engineering (USD)" dataDxfId="815" dataCellStyle="Currency"/>
    <tableColumn id="17" xr3:uid="{8D2B4DED-51BA-4241-87BF-BBA0E4E64B2C}" name="Vendor Support (USD)" dataDxfId="814" dataCellStyle="Currency"/>
    <tableColumn id="18" xr3:uid="{476CA7E0-E075-48BE-A6EC-E24DDFB76B22}" name="Total (USD)" totalsRowFunction="count" dataDxfId="813" dataCellStyle="Currency">
      <calculatedColumnFormula>SUM(F224:P224)</calculatedColumnFormula>
    </tableColumn>
  </tableColumns>
  <tableStyleInfo name="TableStyleLight4" showFirstColumn="1" showLastColumn="0" showRowStripes="1" showColumnStripes="0"/>
</table>
</file>

<file path=xl/tables/table7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6" xr:uid="{B711FCC5-F68F-4E9C-977A-C4144B291677}" name="Table4798497" displayName="Table4798497" ref="D208:Q217" headerRowDxfId="812" dataDxfId="811" totalsRowDxfId="810">
  <autoFilter ref="D208:Q217" xr:uid="{B711FCC5-F68F-4E9C-977A-C4144B291677}"/>
  <tableColumns count="14">
    <tableColumn id="1" xr3:uid="{A3851149-27E8-47FE-93A3-D3752E85EC9F}" name="Service" totalsRowLabel="Total" dataDxfId="808" totalsRowDxfId="809"/>
    <tableColumn id="20" xr3:uid="{A52E0A96-6E65-4C12-ADD0-F50FAC740472}" name="Pricing Tier" dataDxfId="806" totalsRowDxfId="807"/>
    <tableColumn id="11" xr3:uid="{306501F9-918B-4AA1-AF90-BD3494728CA7}" name="Consumption (USD)" dataDxfId="805"/>
    <tableColumn id="3" xr3:uid="{00BFFD50-3845-4D27-9844-96EABDE40D90}" name="Licensing (USD)" dataDxfId="804"/>
    <tableColumn id="39" xr3:uid="{1C2E44A6-4453-4AEB-9414-98B847AE96E8}" name="Redeployment (USD)" dataDxfId="803"/>
    <tableColumn id="40" xr3:uid="{3082A9DA-89D5-4802-BEB0-522AD10164B5}" name="Maintenance (USD)" dataDxfId="802"/>
    <tableColumn id="46" xr3:uid="{B2A81C61-9624-4979-851B-CF3232E8D97F}" name="Security (USD)" dataDxfId="801"/>
    <tableColumn id="12" xr3:uid="{82E72B72-4441-41B5-93A7-E50084918654}" name="Availability (USD)" dataDxfId="800"/>
    <tableColumn id="13" xr3:uid="{EE43332B-84F4-4286-A54E-811E620EDEE0}" name="Recovery (USD)" dataDxfId="799"/>
    <tableColumn id="14" xr3:uid="{9DE85E77-C001-4718-B4B6-586F829F6532}" name="Validation and Testing Labor (USD)" dataDxfId="798"/>
    <tableColumn id="15" xr3:uid="{AE3F79AF-657A-42CE-8C26-232145CCC643}" name="Load Testing (USD)" dataDxfId="797"/>
    <tableColumn id="16" xr3:uid="{95A30361-42DF-4030-A4BD-EF685A980FA4}" name="Chaos Engineering (USD)" dataDxfId="796"/>
    <tableColumn id="17" xr3:uid="{955EFFEC-BCA1-442C-9E2A-5B3AB4B3623F}" name="Vendor Support (USD)" dataDxfId="795"/>
    <tableColumn id="18" xr3:uid="{871144B9-D018-4035-BF1B-7A3A01BA62D9}" name="Total (USD)" totalsRowFunction="count" dataDxfId="794">
      <calculatedColumnFormula>SUM(Table4798497[[#This Row],[Consumption (USD)]:[Vendor Support (USD)]])</calculatedColumnFormula>
    </tableColumn>
  </tableColumns>
  <tableStyleInfo name="TableStyleLight4" showFirstColumn="1" showLastColumn="0" showRowStripes="1" showColumnStripes="0"/>
</table>
</file>

<file path=xl/tables/table7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7" xr:uid="{8EC68633-7464-4AFD-8FE2-7286FABC6266}" name="Table84698" displayName="Table84698" ref="E199:Q202" totalsRowShown="0" headerRowDxfId="793" dataDxfId="792">
  <autoFilter ref="E199:Q202" xr:uid="{8EC68633-7464-4AFD-8FE2-7286FABC6266}"/>
  <tableColumns count="13">
    <tableColumn id="1" xr3:uid="{0198C4B5-28D3-47C1-8906-17816648A2E9}" name="Summary" dataDxfId="791"/>
    <tableColumn id="2" xr3:uid="{FD988948-6212-4210-8860-9474D21DCDE5}" name="Consumption (USD)" dataDxfId="790"/>
    <tableColumn id="3" xr3:uid="{915B8C7E-4BEB-4272-A6EE-1BDE8AA3556A}" name="Licensing (USD)" dataDxfId="789"/>
    <tableColumn id="4" xr3:uid="{A2719AD5-2303-4780-BE73-6B61B2610685}" name="Redeployment (USD)" dataDxfId="788"/>
    <tableColumn id="5" xr3:uid="{7B97293B-0243-4825-8727-92AA7F7FD03F}" name="Maintenance (USD)" dataDxfId="787"/>
    <tableColumn id="6" xr3:uid="{32A297B9-02B3-4F7A-8BC9-484AFF409F5C}" name="Security (USD)" dataDxfId="786"/>
    <tableColumn id="7" xr3:uid="{9A6201E7-EA22-4BFD-8B6A-D8FD17F64A88}" name="Availability (USD)" dataDxfId="785"/>
    <tableColumn id="8" xr3:uid="{D4FB527B-E338-404D-8E58-E4534D5A2EE9}" name="Recovery (USD)" dataDxfId="784"/>
    <tableColumn id="9" xr3:uid="{4540619C-6E23-46C4-ABF6-8845E21DFB59}" name="Validation and Testing Labor (USD)" dataDxfId="783"/>
    <tableColumn id="10" xr3:uid="{6FF7A8D0-7F5E-474E-836D-A7F8468AF3E9}" name="Load Testing (USD)" dataDxfId="782"/>
    <tableColumn id="11" xr3:uid="{4CF59031-259B-4993-89A3-C0AB08BCEED2}" name="Chaos Engineering (USD)" dataDxfId="781"/>
    <tableColumn id="12" xr3:uid="{8C36D935-6E18-4307-A5F8-C8E844DB7134}" name="Vendor Support (USD)" dataDxfId="780"/>
    <tableColumn id="13" xr3:uid="{7F648A4F-99C2-4517-8991-760486533AC5}" name="Total (USD)" dataDxfId="779"/>
  </tableColumns>
  <tableStyleInfo name="TableStyleLight4" showFirstColumn="0" showLastColumn="0" showRowStripes="1" showColumnStripes="0"/>
</table>
</file>

<file path=xl/tables/table7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8" xr:uid="{73CC7BDB-F46B-4F07-BF1D-9389268EBFC2}" name="Table4795858399" displayName="Table4795858399" ref="D266:Q275" headerRowDxfId="778" dataDxfId="777" totalsRowDxfId="776">
  <autoFilter ref="D266:Q275" xr:uid="{73CC7BDB-F46B-4F07-BF1D-9389268EBFC2}"/>
  <tableColumns count="14">
    <tableColumn id="1" xr3:uid="{47877584-A7D8-47DA-84B8-3ED6F6CE6EC3}" name="Service" totalsRowLabel="Total" dataDxfId="774" totalsRowDxfId="775"/>
    <tableColumn id="2" xr3:uid="{0CDF8CFA-2D9E-4972-BE76-4553BEAC59D5}" name="Pricing Tier" dataDxfId="772" totalsRowDxfId="773"/>
    <tableColumn id="11" xr3:uid="{BDCD61E4-77BE-44FB-937C-DC543973CE78}" name="Consumption (USD)" dataDxfId="771" dataCellStyle="Currency"/>
    <tableColumn id="3" xr3:uid="{23E10222-766F-48CE-BB43-6EDD1E61C4B3}" name="Licensing (USD)" dataDxfId="770" dataCellStyle="Currency"/>
    <tableColumn id="39" xr3:uid="{5690CC39-C25A-42D4-8716-E13E26317C12}" name="Redeployment (USD)" dataDxfId="769" dataCellStyle="Currency"/>
    <tableColumn id="40" xr3:uid="{5F5A97CA-6002-49B6-87D5-A91955ED9B4C}" name="Maintenance (USD)" dataDxfId="768" dataCellStyle="Currency"/>
    <tableColumn id="46" xr3:uid="{309776BE-9765-450E-91B0-41989EED4329}" name="Security (USD)" dataDxfId="767" dataCellStyle="Currency"/>
    <tableColumn id="12" xr3:uid="{06CECA69-2BCD-4E24-B37D-635B97A22B14}" name="Availability (USD)" dataDxfId="766" dataCellStyle="Currency"/>
    <tableColumn id="13" xr3:uid="{A65A6930-6820-421A-B4B2-3DCB74FEE10B}" name="Recovery (USD)" dataDxfId="765" dataCellStyle="Currency"/>
    <tableColumn id="14" xr3:uid="{530BDF4F-8EB2-450D-9C38-1131A609EE6C}" name="Validation and Testing Labor (USD)" dataDxfId="764" dataCellStyle="Currency"/>
    <tableColumn id="15" xr3:uid="{9E7DA363-AB1E-4AFE-9F49-C65BF4C199E6}" name="Load Testing (USD)" dataDxfId="763" dataCellStyle="Currency"/>
    <tableColumn id="16" xr3:uid="{8D793218-DE27-4F13-AC7D-3D82DBA5A491}" name="Chaos Engineering (USD)" dataDxfId="762" dataCellStyle="Currency"/>
    <tableColumn id="17" xr3:uid="{4B4BA716-31EF-4318-BA36-14AC13ECD6DF}" name="Vendor Support (USD)" dataDxfId="761" dataCellStyle="Currency"/>
    <tableColumn id="18" xr3:uid="{85762408-B28E-49F0-96AB-8534E5DC040F}" name="Total (USD)" totalsRowFunction="count" dataDxfId="760" dataCellStyle="Currency">
      <calculatedColumnFormula>SUM(F267:P267)</calculatedColumnFormula>
    </tableColumn>
  </tableColumns>
  <tableStyleInfo name="TableStyleLight4" showFirstColumn="1"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6" xr:uid="{82389D30-CCAD-4D42-96A2-144FA05B7BA3}" name="Table2367" displayName="Table2367" ref="D45:M138" totalsRowShown="0" headerRowDxfId="1846" dataDxfId="1845" tableBorderDxfId="1844">
  <autoFilter ref="D45:M138" xr:uid="{5B490A1C-0636-4260-B786-8CD50193FBB2}"/>
  <sortState xmlns:xlrd2="http://schemas.microsoft.com/office/spreadsheetml/2017/richdata2" ref="D46:M137">
    <sortCondition ref="E46:E137" customList="General,People and Process,Availability,Recoverability,Monitor,Security,Validation and Testing"/>
  </sortState>
  <tableColumns count="10">
    <tableColumn id="1" xr3:uid="{775E7BFD-4599-4F34-B148-5650FB513B5D}" name="ID" dataDxfId="1843"/>
    <tableColumn id="10" xr3:uid="{74517CA0-5795-43BD-9495-F432F5AB6F51}" name="Category" dataDxfId="1842"/>
    <tableColumn id="2" xr3:uid="{2D659622-95DA-437F-895F-9B187DE56CD3}" name="Requirements" dataDxfId="1841"/>
    <tableColumn id="3" xr3:uid="{0C05794F-866A-4C78-8601-882F9BD50154}" name="Commitment Level 1" dataDxfId="1840"/>
    <tableColumn id="4" xr3:uid="{37063328-CA5E-4292-8002-3240A28777B4}" name="Template(s)" dataDxfId="1839"/>
    <tableColumn id="5" xr3:uid="{E113F876-B7C9-4475-BCD2-054991EC6702}" name="Workshop" dataDxfId="1838"/>
    <tableColumn id="6" xr3:uid="{EF59FBC1-CF16-4880-9251-3DBDCCBF3569}" name="Owner" dataDxfId="1837"/>
    <tableColumn id="7" xr3:uid="{A34FE170-E9B5-400D-98F8-92ECF0385BBA}" name="Stakeholder(s)" dataDxfId="1836"/>
    <tableColumn id="8" xr3:uid="{DEB503E1-C8A5-48FD-9E87-8D3B45E964CE}" name="Required" dataDxfId="1835"/>
    <tableColumn id="9" xr3:uid="{8F58C794-9A7A-4989-A3AB-FD1A16C25DF4}" name="Architecture Decision Record" dataDxfId="1834"/>
  </tableColumns>
  <tableStyleInfo name="TableStyleLight4" showFirstColumn="0" showLastColumn="0" showRowStripes="1" showColumnStripes="0"/>
</table>
</file>

<file path=xl/tables/table8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0" xr:uid="{A5569C64-5BF0-49D1-AD2E-F4D84C6772CB}" name="Table47984101" displayName="Table47984101" ref="D253:Q260" headerRowDxfId="759" dataDxfId="758" totalsRowDxfId="757">
  <autoFilter ref="D253:Q260" xr:uid="{A5569C64-5BF0-49D1-AD2E-F4D84C6772CB}"/>
  <tableColumns count="14">
    <tableColumn id="1" xr3:uid="{E410FEE6-2068-4B2D-BB92-4BF473B082D9}" name="Service" totalsRowLabel="Total" dataDxfId="755" totalsRowDxfId="756"/>
    <tableColumn id="20" xr3:uid="{3F1D4E92-7CEB-4773-B8E1-14ED5CA974E9}" name="Pricing Tier" dataDxfId="753" totalsRowDxfId="754"/>
    <tableColumn id="11" xr3:uid="{CFF44F59-B2CD-4FF4-A60A-F344FFAB0912}" name="Consumption (USD)" dataDxfId="752"/>
    <tableColumn id="3" xr3:uid="{F8542C2C-B45C-486E-8B8E-C3A008E876E5}" name="Licensing (USD)" dataDxfId="751"/>
    <tableColumn id="39" xr3:uid="{A9E433BA-3934-4B55-BA23-B0566E1DEB33}" name="Redeployment (USD)" dataDxfId="750"/>
    <tableColumn id="40" xr3:uid="{B26F71EE-031D-44CD-AA83-4CE720FE7F31}" name="Maintenance (USD)" dataDxfId="749"/>
    <tableColumn id="46" xr3:uid="{EC48052C-CF22-41E6-9E20-E834317BA0CE}" name="Security (USD)" dataDxfId="748"/>
    <tableColumn id="12" xr3:uid="{1555EFAC-E048-42BE-96AD-A88B94F6E266}" name="Availability (USD)" dataDxfId="747"/>
    <tableColumn id="13" xr3:uid="{3673804E-E338-4E00-A167-5A3D86328F6A}" name="Recovery (USD)" dataDxfId="746"/>
    <tableColumn id="14" xr3:uid="{1D4C57C9-DE0B-4C1E-B4F0-C119FC3DBA5C}" name="Validation and Testing Labor (USD)" dataDxfId="745"/>
    <tableColumn id="15" xr3:uid="{BEA0D18E-E8F7-45C6-BCF7-8AAA8DA4B4B1}" name="Load Testing (USD)" dataDxfId="744"/>
    <tableColumn id="16" xr3:uid="{37BF37B2-D42E-4CBA-8A03-75C3A388B354}" name="Chaos Engineering (USD)" dataDxfId="743"/>
    <tableColumn id="17" xr3:uid="{627C4294-2726-4DE3-9348-00FB933B976E}" name="Vendor Support (USD)" dataDxfId="742"/>
    <tableColumn id="18" xr3:uid="{0CCC1C2B-1D61-4C33-8149-F0EE9B857199}" name="Total (USD)" totalsRowFunction="count" dataDxfId="741">
      <calculatedColumnFormula>SUM(Table47984101[[#This Row],[Consumption (USD)]:[Vendor Support (USD)]])</calculatedColumnFormula>
    </tableColumn>
  </tableColumns>
  <tableStyleInfo name="TableStyleLight4" showFirstColumn="1" showLastColumn="0" showRowStripes="1" showColumnStripes="0"/>
</table>
</file>

<file path=xl/tables/table8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1" xr:uid="{778F6F36-9992-4563-B609-A2F98AC5404B}" name="Table846102" displayName="Table846102" ref="E244:Q247" totalsRowShown="0" headerRowDxfId="740" dataDxfId="739">
  <autoFilter ref="E244:Q247" xr:uid="{778F6F36-9992-4563-B609-A2F98AC5404B}"/>
  <tableColumns count="13">
    <tableColumn id="1" xr3:uid="{C1481B1A-2DBF-4A74-ADDD-83CA377597EB}" name="Summary" dataDxfId="738"/>
    <tableColumn id="2" xr3:uid="{CA1152A1-465D-4632-9E11-8E003E38F2EB}" name="Consumption (USD)" dataDxfId="737"/>
    <tableColumn id="3" xr3:uid="{1B97069F-0661-462D-8449-E3A4F2DB898E}" name="Licensing (USD)" dataDxfId="736"/>
    <tableColumn id="4" xr3:uid="{3515BAF1-4C3E-4732-8643-6B95E7E22A57}" name="Redeployment (USD)" dataDxfId="735"/>
    <tableColumn id="5" xr3:uid="{06791C3A-B99E-4A51-9E42-E76E47312AA4}" name="Maintenance (USD)" dataDxfId="734"/>
    <tableColumn id="6" xr3:uid="{226F26B9-FF22-42A4-9CCD-B42B872D9274}" name="Security (USD)" dataDxfId="733"/>
    <tableColumn id="7" xr3:uid="{6F496DDE-4E0F-4D59-A997-B8A62920B71D}" name="Availability (USD)" dataDxfId="732"/>
    <tableColumn id="8" xr3:uid="{EC5FC9CD-57B8-4957-AECD-A860E367F1DA}" name="Recovery (USD)" dataDxfId="731"/>
    <tableColumn id="9" xr3:uid="{86E9C296-9C21-4A9D-BBD8-EE58C5E1B342}" name="Validation and Testing Labor (USD)" dataDxfId="730"/>
    <tableColumn id="10" xr3:uid="{9427CD56-0A7A-432D-8471-6C69747DC583}" name="Load Testing (USD)" dataDxfId="729"/>
    <tableColumn id="11" xr3:uid="{811D0DA6-BBAE-4D42-85EA-2577AF90DAAE}" name="Chaos Engineering (USD)" dataDxfId="728"/>
    <tableColumn id="12" xr3:uid="{3B0C4A45-C65B-4E2C-BA9B-EFCA76303DBE}" name="Vendor Support (USD)" dataDxfId="727"/>
    <tableColumn id="13" xr3:uid="{B8D4D1E1-1278-4691-BA3B-FFDCBFDBDD89}" name="Total (USD)" dataDxfId="726"/>
  </tableColumns>
  <tableStyleInfo name="TableStyleLight4" showFirstColumn="0" showLastColumn="0" showRowStripes="1" showColumnStripes="0"/>
</table>
</file>

<file path=xl/tables/table8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2" xr:uid="{77691EDF-6511-402D-B178-5CD1DAF3546B}" name="Table4795858399103" displayName="Table4795858399103" ref="D306:Q314" headerRowDxfId="725" dataDxfId="724" totalsRowDxfId="723">
  <autoFilter ref="D306:Q314" xr:uid="{77691EDF-6511-402D-B178-5CD1DAF3546B}"/>
  <tableColumns count="14">
    <tableColumn id="1" xr3:uid="{B3AC6ED6-4C81-4098-904F-46A79935801B}" name="Service" totalsRowLabel="Total" dataDxfId="721" totalsRowDxfId="722"/>
    <tableColumn id="2" xr3:uid="{1DE90EC7-0A4C-4FD4-9B59-EA198E7E0CD4}" name="Pricing Tier" dataDxfId="719" totalsRowDxfId="720"/>
    <tableColumn id="11" xr3:uid="{4D28C5A0-6333-43DD-92DB-7ADBEEAD37E8}" name="Consumption (USD)" dataDxfId="718" dataCellStyle="Currency"/>
    <tableColumn id="3" xr3:uid="{5E05EC5F-654E-403B-91D6-5B0F1A3D1DE6}" name="Licensing (USD)" dataDxfId="717" dataCellStyle="Currency"/>
    <tableColumn id="39" xr3:uid="{B9275B08-BE9C-4D04-948D-3B053E14B3C8}" name="Redeployment (USD)" dataDxfId="716" dataCellStyle="Currency"/>
    <tableColumn id="40" xr3:uid="{468108DE-FCB4-474C-BFA8-A8ED58945C28}" name="Maintenance (USD)" dataDxfId="715" dataCellStyle="Currency"/>
    <tableColumn id="46" xr3:uid="{E1874763-6941-41BB-ADE4-30554FAE2958}" name="Security (USD)" dataDxfId="714" dataCellStyle="Currency"/>
    <tableColumn id="12" xr3:uid="{462E0D5B-AC63-4208-98E4-35B947FD4FB9}" name="Availability (USD)" dataDxfId="713" dataCellStyle="Currency"/>
    <tableColumn id="13" xr3:uid="{2D4F91AE-813C-478A-AC1C-559596D85215}" name="Recovery (USD)" dataDxfId="712" dataCellStyle="Currency"/>
    <tableColumn id="14" xr3:uid="{B1A8E984-D20D-4C47-B7C9-24C2832F091B}" name="Validation and Testing Labor (USD)" dataDxfId="711" dataCellStyle="Currency"/>
    <tableColumn id="15" xr3:uid="{2FA80BC2-D20C-4D45-BC87-0523B673932E}" name="Load Testing (USD)" dataDxfId="710" dataCellStyle="Currency"/>
    <tableColumn id="16" xr3:uid="{8F289FB8-7EF6-4DD8-AF1C-8C7DD511AC6B}" name="Chaos Engineering (USD)" dataDxfId="709" dataCellStyle="Currency"/>
    <tableColumn id="17" xr3:uid="{D02B523D-8183-4F0F-9E6F-8FEDBB6691B9}" name="Vendor Support (USD)" dataDxfId="708" dataCellStyle="Currency"/>
    <tableColumn id="18" xr3:uid="{F7E53F23-58A5-4772-95AE-A621670BDC58}" name="Total (USD)" totalsRowFunction="count" dataDxfId="707" dataCellStyle="Currency">
      <calculatedColumnFormula>SUM(F307:P307)</calculatedColumnFormula>
    </tableColumn>
  </tableColumns>
  <tableStyleInfo name="TableStyleLight4" showFirstColumn="1" showLastColumn="0" showRowStripes="1" showColumnStripes="0"/>
</table>
</file>

<file path=xl/tables/table8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3" xr:uid="{1A6E630A-C80F-4C29-9D99-020F4304FF7A}" name="Table47984101104" displayName="Table47984101104" ref="D294:Q300" headerRowDxfId="706" dataDxfId="705" totalsRowDxfId="704">
  <autoFilter ref="D294:Q300" xr:uid="{1A6E630A-C80F-4C29-9D99-020F4304FF7A}"/>
  <tableColumns count="14">
    <tableColumn id="1" xr3:uid="{3AAD5824-ADF7-4994-AFD7-9D2CFC4B98F9}" name="Service" totalsRowLabel="Total" dataDxfId="702" totalsRowDxfId="703"/>
    <tableColumn id="20" xr3:uid="{CBBF3D49-EA24-4086-B5A2-31E40B7A10AF}" name="Pricing Tier" dataDxfId="700" totalsRowDxfId="701"/>
    <tableColumn id="11" xr3:uid="{A1711A6E-22D5-4326-8751-E4D02F578C74}" name="Consumption (USD)" dataDxfId="699"/>
    <tableColumn id="3" xr3:uid="{1A7E2A1A-3AE5-4E74-9BF4-6C75D21A847E}" name="Licensing (USD)" dataDxfId="698"/>
    <tableColumn id="39" xr3:uid="{34C5AFDB-FB45-4A1D-9412-7BE39D4ACBC6}" name="Redeployment (USD)" dataDxfId="697"/>
    <tableColumn id="40" xr3:uid="{4B337644-1FA4-46C0-AB58-06F35189F2FD}" name="Maintenance (USD)" dataDxfId="696"/>
    <tableColumn id="46" xr3:uid="{82C6962A-E20B-4F38-8358-4290A70FB542}" name="Security (USD)" dataDxfId="695"/>
    <tableColumn id="12" xr3:uid="{5921709B-2DEF-42B9-A499-ED9CB12B5534}" name="Availability (USD)" dataDxfId="694"/>
    <tableColumn id="13" xr3:uid="{6008E707-1CF5-42CF-9360-5822D003087B}" name="Recovery (USD)" dataDxfId="693"/>
    <tableColumn id="14" xr3:uid="{7AED6300-1059-4F1D-8976-D90D4F477DBD}" name="Validation and Testing Labor (USD)" dataDxfId="692"/>
    <tableColumn id="15" xr3:uid="{2E326561-0D4A-4F5F-889C-47CF20AE734A}" name="Load Testing (USD)" dataDxfId="691"/>
    <tableColumn id="16" xr3:uid="{29F60AD4-0C5F-43B5-9EE3-EEF2FC90DD7F}" name="Chaos Engineering (USD)" dataDxfId="690"/>
    <tableColumn id="17" xr3:uid="{073CDCC4-946C-4B8B-B5FE-A98B86855722}" name="Vendor Support (USD)" dataDxfId="689"/>
    <tableColumn id="18" xr3:uid="{D314FE6C-34F8-43C6-9572-CEB3C7F817E6}" name="Total (USD)" totalsRowFunction="count" dataDxfId="688">
      <calculatedColumnFormula>SUM(Table47984101104[[#This Row],[Consumption (USD)]:[Vendor Support (USD)]])</calculatedColumnFormula>
    </tableColumn>
  </tableColumns>
  <tableStyleInfo name="TableStyleLight4" showFirstColumn="1" showLastColumn="0" showRowStripes="1" showColumnStripes="0"/>
</table>
</file>

<file path=xl/tables/table8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4" xr:uid="{41EAC2FC-76AC-4BCF-80D9-D735D05C4BF4}" name="Table846102105" displayName="Table846102105" ref="E285:Q288" totalsRowShown="0" headerRowDxfId="687" dataDxfId="686">
  <autoFilter ref="E285:Q288" xr:uid="{41EAC2FC-76AC-4BCF-80D9-D735D05C4BF4}"/>
  <tableColumns count="13">
    <tableColumn id="1" xr3:uid="{9D68DB7F-D323-4DF0-BD96-E98864175107}" name="Summary" dataDxfId="685"/>
    <tableColumn id="2" xr3:uid="{4F3A7CD5-0745-4FB4-A2E4-890DC2552E61}" name="Consumption (USD)" dataDxfId="684"/>
    <tableColumn id="3" xr3:uid="{445EF942-9A8F-4D77-909B-0DAF2B54E850}" name="Licensing (USD)" dataDxfId="683"/>
    <tableColumn id="4" xr3:uid="{473DBE1A-82C9-4EDD-9108-4D12A78633E7}" name="Redeployment (USD)" dataDxfId="682"/>
    <tableColumn id="5" xr3:uid="{8EFBA7F1-A75E-49DF-B90C-A9C04C4ED027}" name="Maintenance (USD)" dataDxfId="681"/>
    <tableColumn id="6" xr3:uid="{F6484602-4602-493C-AA3B-DCD7C864C905}" name="Security (USD)" dataDxfId="680"/>
    <tableColumn id="7" xr3:uid="{D65F7962-520B-49FB-8FDB-191160D52E7F}" name="Availability (USD)" dataDxfId="679"/>
    <tableColumn id="8" xr3:uid="{36B9BE66-8AD4-419D-864E-9D65717321F3}" name="Recovery (USD)" dataDxfId="678"/>
    <tableColumn id="9" xr3:uid="{5A497197-CA58-4143-BFDD-7AC139D53659}" name="Validation and Testing Labor (USD)" dataDxfId="677"/>
    <tableColumn id="10" xr3:uid="{848B5ADB-0FAF-4FA0-A853-32C988A72439}" name="Load Testing (USD)" dataDxfId="676"/>
    <tableColumn id="11" xr3:uid="{79ED73E7-0701-4A4B-ABFC-22F90EC60EE0}" name="Chaos Engineering (USD)" dataDxfId="675"/>
    <tableColumn id="12" xr3:uid="{9D0B87DE-77C6-44EE-872C-FF97EA96628B}" name="Vendor Support (USD)" dataDxfId="674"/>
    <tableColumn id="13" xr3:uid="{4F59EB45-C761-417B-868C-0D14E037C51D}" name="Total (USD)" dataDxfId="673"/>
  </tableColumns>
  <tableStyleInfo name="TableStyleLight4" showFirstColumn="0" showLastColumn="0" showRowStripes="1" showColumnStripes="0"/>
</table>
</file>

<file path=xl/tables/table8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5" xr:uid="{AA16AFD8-1DD1-4D09-9FDC-BB8013AFB467}" name="Table4795858399106" displayName="Table4795858399106" ref="D346:Q355" headerRowDxfId="672" dataDxfId="671" totalsRowDxfId="670">
  <autoFilter ref="D346:Q355" xr:uid="{AA16AFD8-1DD1-4D09-9FDC-BB8013AFB467}"/>
  <tableColumns count="14">
    <tableColumn id="1" xr3:uid="{59766365-5834-4721-AB39-D5074197E894}" name="Service" totalsRowLabel="Total" dataDxfId="668" totalsRowDxfId="669"/>
    <tableColumn id="2" xr3:uid="{D03C55DF-902D-4991-8C77-6F538B283192}" name="Pricing Tier" dataDxfId="666" totalsRowDxfId="667"/>
    <tableColumn id="11" xr3:uid="{C0F4F5F4-BCB7-44F2-867E-DD2C5ABA0EC3}" name="Consumption (USD)" dataDxfId="665" dataCellStyle="Currency"/>
    <tableColumn id="3" xr3:uid="{B41D5D81-3169-43C9-BF1D-A7DE39574FAD}" name="Licensing (USD)" dataDxfId="664" dataCellStyle="Currency"/>
    <tableColumn id="39" xr3:uid="{6A899742-F2D9-4C06-BA62-00F0D2C3C1C0}" name="Redeployment (USD)" dataDxfId="663" dataCellStyle="Currency"/>
    <tableColumn id="40" xr3:uid="{64964F03-8F46-4693-995D-80F289C5AAF5}" name="Maintenance (USD)" dataDxfId="662" dataCellStyle="Currency"/>
    <tableColumn id="46" xr3:uid="{1DC07444-CB94-4736-A649-472A3DF28E52}" name="Security (USD)" dataDxfId="661" dataCellStyle="Currency"/>
    <tableColumn id="12" xr3:uid="{035CC97E-F7CF-4C7B-9411-604778AA2E20}" name="Availability (USD)" dataDxfId="660" dataCellStyle="Currency"/>
    <tableColumn id="13" xr3:uid="{CE8D8AEB-B5FB-479D-BF8B-52DBCCA06773}" name="Recovery (USD)" dataDxfId="659" dataCellStyle="Currency"/>
    <tableColumn id="14" xr3:uid="{33CBBAFB-5341-4CF1-9D37-998CB9B6B826}" name="Validation and Testing Labor (USD)" dataDxfId="658" dataCellStyle="Currency"/>
    <tableColumn id="15" xr3:uid="{93F1CF03-166E-4C55-8E0C-91D209D42129}" name="Load Testing (USD)" dataDxfId="657" dataCellStyle="Currency"/>
    <tableColumn id="16" xr3:uid="{6783B799-B5C4-4DF0-BAA8-9B9136178EF1}" name="Chaos Engineering (USD)" dataDxfId="656" dataCellStyle="Currency"/>
    <tableColumn id="17" xr3:uid="{D7D6739C-7FA3-441C-9CA0-72E6575036C3}" name="Vendor Support (USD)" dataDxfId="655" dataCellStyle="Currency"/>
    <tableColumn id="18" xr3:uid="{6FD39B4A-16E5-4DFA-8E70-ACC2A3DBA230}" name="Total (USD)" totalsRowFunction="count" dataDxfId="654" dataCellStyle="Currency">
      <calculatedColumnFormula>SUM(F347:P347)</calculatedColumnFormula>
    </tableColumn>
  </tableColumns>
  <tableStyleInfo name="TableStyleLight4" showFirstColumn="1" showLastColumn="0" showRowStripes="1" showColumnStripes="0"/>
</table>
</file>

<file path=xl/tables/table8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6" xr:uid="{9E72B3AE-5C52-458C-B531-B2364BBA2AB7}" name="Table47984101107" displayName="Table47984101107" ref="D333:Q340" headerRowDxfId="653" dataDxfId="652" totalsRowDxfId="651">
  <autoFilter ref="D333:Q340" xr:uid="{9E72B3AE-5C52-458C-B531-B2364BBA2AB7}"/>
  <tableColumns count="14">
    <tableColumn id="1" xr3:uid="{2FA27DA9-9EE4-4E97-A0B6-705CBBEF9714}" name="Service" totalsRowLabel="Total" dataDxfId="649" totalsRowDxfId="650"/>
    <tableColumn id="20" xr3:uid="{73386FD2-34B6-41E7-8526-6A741D41B22C}" name="Pricing Tier" dataDxfId="647" totalsRowDxfId="648"/>
    <tableColumn id="11" xr3:uid="{23F90F61-6100-40D7-8BD3-D70B49754356}" name="Consumption (USD)" dataDxfId="646"/>
    <tableColumn id="3" xr3:uid="{15E561F1-4776-4EF0-BEF6-BA3CEE31940E}" name="Licensing (USD)" dataDxfId="645"/>
    <tableColumn id="39" xr3:uid="{410DFC6F-EE44-40B6-B47B-1A761888CBFF}" name="Redeployment (USD)" dataDxfId="644"/>
    <tableColumn id="40" xr3:uid="{ABF47E2C-0D86-46C2-8456-D820D5150D46}" name="Maintenance (USD)" dataDxfId="643"/>
    <tableColumn id="46" xr3:uid="{54A25E31-FDBB-4A11-8089-6F809DD4AFB5}" name="Security (USD)" dataDxfId="642"/>
    <tableColumn id="12" xr3:uid="{ED34E3FC-AB1C-4BD3-8CCB-622980CBAAC7}" name="Availability (USD)" dataDxfId="641"/>
    <tableColumn id="13" xr3:uid="{D5BC2391-A2B1-4924-A991-579339AD87CE}" name="Recovery (USD)" dataDxfId="640"/>
    <tableColumn id="14" xr3:uid="{E6EF5743-A5EA-467D-B13D-0580630AE278}" name="Validation and Testing Labor (USD)" dataDxfId="639"/>
    <tableColumn id="15" xr3:uid="{84F65900-68B7-43F7-80F0-268E5416E9B7}" name="Load Testing (USD)" dataDxfId="638"/>
    <tableColumn id="16" xr3:uid="{F157FCBF-44E8-40BF-9C6F-33F388027FAC}" name="Chaos Engineering (USD)" dataDxfId="637"/>
    <tableColumn id="17" xr3:uid="{FE7A981F-6015-424A-A745-85E18AAB3A1A}" name="Vendor Support (USD)" dataDxfId="636"/>
    <tableColumn id="18" xr3:uid="{7A2425A4-E9F8-45DD-8615-A62707FB2170}" name="Total (USD)" totalsRowFunction="count" dataDxfId="635">
      <calculatedColumnFormula>SUM(Table47984101107[[#This Row],[Consumption (USD)]:[Vendor Support (USD)]])</calculatedColumnFormula>
    </tableColumn>
  </tableColumns>
  <tableStyleInfo name="TableStyleLight4" showFirstColumn="1" showLastColumn="0" showRowStripes="1" showColumnStripes="0"/>
</table>
</file>

<file path=xl/tables/table8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7" xr:uid="{F4A41AEC-108A-483A-91BB-15C359CF67CA}" name="Table846102108" displayName="Table846102108" ref="E324:Q327" totalsRowShown="0" headerRowDxfId="634" dataDxfId="633">
  <autoFilter ref="E324:Q327" xr:uid="{F4A41AEC-108A-483A-91BB-15C359CF67CA}"/>
  <tableColumns count="13">
    <tableColumn id="1" xr3:uid="{E1A161C0-11D9-406B-B24E-D8D2F7AE522A}" name="Summary" dataDxfId="632"/>
    <tableColumn id="2" xr3:uid="{29C8FBD7-3EE5-4DC8-A270-B6E872E8F415}" name="Consumption (USD)" dataDxfId="631"/>
    <tableColumn id="3" xr3:uid="{8EDA3961-818E-4924-905F-F692678D136C}" name="Licensing (USD)" dataDxfId="630"/>
    <tableColumn id="4" xr3:uid="{99C55913-CBF3-4C5C-99E8-D06208FDACEC}" name="Redeployment (USD)" dataDxfId="629"/>
    <tableColumn id="5" xr3:uid="{5B3FC944-F087-49CD-93DD-D4BACB193F98}" name="Maintenance (USD)" dataDxfId="628"/>
    <tableColumn id="6" xr3:uid="{77458E07-870D-45A9-ADCF-E7284D7C6717}" name="Security (USD)" dataDxfId="627"/>
    <tableColumn id="7" xr3:uid="{90384F13-B77C-47B3-A807-7FDC568E2947}" name="Availability (USD)" dataDxfId="626"/>
    <tableColumn id="8" xr3:uid="{1FBD1FB9-DCDD-44A6-9BC3-D0431A0D927C}" name="Recovery (USD)" dataDxfId="625"/>
    <tableColumn id="9" xr3:uid="{B2043278-53FA-482B-8760-6A25CFEAC110}" name="Validation and Testing Labor (USD)" dataDxfId="624"/>
    <tableColumn id="10" xr3:uid="{42BD72AB-401C-441A-88A5-D959244CF7BE}" name="Load Testing (USD)" dataDxfId="623"/>
    <tableColumn id="11" xr3:uid="{3992E3E1-444A-42E6-9B49-362CF1077FF5}" name="Chaos Engineering (USD)" dataDxfId="622"/>
    <tableColumn id="12" xr3:uid="{3636AA80-E86C-4B73-AFA5-62CF79F663A4}" name="Vendor Support (USD)" dataDxfId="621"/>
    <tableColumn id="13" xr3:uid="{A6421855-F8AE-4872-B260-E7A9F82EBC17}" name="Total (USD)" dataDxfId="620"/>
  </tableColumns>
  <tableStyleInfo name="TableStyleLight4" showFirstColumn="0" showLastColumn="0" showRowStripes="1" showColumnStripes="0"/>
</table>
</file>

<file path=xl/tables/table8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8B798326-3EFA-4489-B971-67BD95F82E9B}" name="Table171941" displayName="Table171941" ref="D36:M41" totalsRowShown="0" headerRowDxfId="579" dataDxfId="578">
  <autoFilter ref="D36:M41" xr:uid="{8B798326-3EFA-4489-B971-67BD95F82E9B}"/>
  <tableColumns count="10">
    <tableColumn id="2" xr3:uid="{CF59A955-FA86-446B-B980-E7A71D1231CC}" name="Name" dataDxfId="577"/>
    <tableColumn id="14" xr3:uid="{195EB606-8566-4B73-9AEA-B6764AB818CF}" name="Role" dataDxfId="576"/>
    <tableColumn id="15" xr3:uid="{5C17191E-F5E9-4824-8E53-2B4BDAA5A925}" name="Department" dataDxfId="575"/>
    <tableColumn id="3" xr3:uid="{52DBF0C6-51C8-488D-95CD-180CC2D45FCC}" name="Application" dataDxfId="574"/>
    <tableColumn id="4" xr3:uid="{1A762576-3464-4F0F-B725-4664D2E7D43A}" name="Mobile" dataDxfId="573"/>
    <tableColumn id="5" xr3:uid="{1442F259-FC3D-45FE-9056-BFCD346D65AB}" name="email" dataDxfId="572"/>
    <tableColumn id="6" xr3:uid="{E1B7A931-BBFB-46A4-9E4B-5EE880C9922F}" name="Location" dataDxfId="571"/>
    <tableColumn id="1" xr3:uid="{51E01C07-BE98-4500-8415-8996D9AB87D1}" name="Time Zone" dataDxfId="570"/>
    <tableColumn id="7" xr3:uid="{B0FC0B58-6322-470C-9A93-4C3C226020DC}" name="Availability" dataDxfId="569"/>
    <tableColumn id="8" xr3:uid="{CA729B72-C9B8-4C17-9B60-5CE88BFB9047}" name="Recovery Team" dataDxfId="568"/>
  </tableColumns>
  <tableStyleInfo name="TableStyleLight4" showFirstColumn="0" showLastColumn="0" showRowStripes="1" showColumnStripes="0"/>
</table>
</file>

<file path=xl/tables/table8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8" xr:uid="{76F31244-1278-432F-92E5-42BCC8F6394D}" name="Table3179" displayName="Table3179" ref="D41:AA50" totalsRowShown="0" headerRowDxfId="553" dataDxfId="552">
  <autoFilter ref="D41:AA50" xr:uid="{6F7FD984-4D30-4C14-B7BB-969932E9090C}"/>
  <tableColumns count="24">
    <tableColumn id="1" xr3:uid="{2C9E35CD-47C7-4660-A75B-D9E157DFAEC8}" name="Test (1)" dataDxfId="551"/>
    <tableColumn id="19" xr3:uid="{A6BE54E2-5B30-41E3-95C0-922BCE91E66D}" name="Business Function" dataDxfId="550"/>
    <tableColumn id="2" xr3:uid="{67803292-7994-49D1-AE25-399FAFD288F4}" name="Description" dataDxfId="549"/>
    <tableColumn id="17" xr3:uid="{A7755F08-C821-4C9C-9207-93C0C69EBC9E}" name="Shift 1" dataDxfId="548"/>
    <tableColumn id="14" xr3:uid="{010FCE02-D497-4702-85C9-72F24DDB04EA}" name="Test Type 2" dataDxfId="547"/>
    <tableColumn id="18" xr3:uid="{36556DAC-369D-4AF6-B5A0-500CDAE89E6F}" name="Frequency" dataDxfId="546"/>
    <tableColumn id="10" xr3:uid="{0A1C6FD4-2FD2-4C31-BF00-E63B78B4CD2C}" name="Last Test" dataDxfId="545"/>
    <tableColumn id="12" xr3:uid="{E0C98151-4185-4628-BD32-FC59CFCD7A04}" name="Last Functional  Result" dataDxfId="544"/>
    <tableColumn id="5" xr3:uid="{3C25E9A6-1CE7-4B34-AB2E-0C45929C1505}" name="Last Performance Result" dataDxfId="543"/>
    <tableColumn id="21" xr3:uid="{1161B418-27D3-4E13-AF34-B128C49C9954}" name="Duration (Hours)" dataDxfId="542"/>
    <tableColumn id="23" xr3:uid="{7E8CC911-F456-49FC-84B3-D47CEDF0BC16}" name="Recovery Point Achieved" dataDxfId="541"/>
    <tableColumn id="20" xr3:uid="{08F15D7F-797F-4190-AE34-7D12CE17B27B}" name="Recovery Time Achieved" dataDxfId="540"/>
    <tableColumn id="24" xr3:uid="{A06404EF-8E83-45D1-90F3-7D8E5202575C}" name="Roles" dataDxfId="539"/>
    <tableColumn id="22" xr3:uid="{E965ADFC-0219-4165-9DB1-E54F0C90588B}" name="Cost (USD)" dataDxfId="538">
      <calculatedColumnFormula>Table3179[[#This Row],[Duration (Hours)]]*75*3</calculatedColumnFormula>
    </tableColumn>
    <tableColumn id="11" xr3:uid="{CC024835-24B9-40F0-8A83-920AB97B621D}" name="Next Test" dataDxfId="537"/>
    <tableColumn id="7" xr3:uid="{D6DFA8D3-17ED-4C32-81DD-EB7E6B25390C}" name="Automated (2)" dataDxfId="536"/>
    <tableColumn id="8" xr3:uid="{F628A1E6-0C84-49B6-A1F6-1BEAC7F70AB1}" name="Scheduled (3)" dataDxfId="535"/>
    <tableColumn id="6" xr3:uid="{B4372B42-9C3E-46A1-B02D-96CE3D768D1E}" name="References (5)" dataDxfId="534"/>
    <tableColumn id="9" xr3:uid="{7DCC85A7-C342-42CE-83E1-A19E86988817}" name="Test Order (6)" dataDxfId="533"/>
    <tableColumn id="16" xr3:uid="{8130C82C-E0A4-4BD3-B265-C16D09A11BFA}" name="Business Owner" dataDxfId="532"/>
    <tableColumn id="4" xr3:uid="{BA83D7B2-05A2-4722-8398-6BCAAA42051D}" name="BCDR Engineer" dataDxfId="531"/>
    <tableColumn id="15" xr3:uid="{4B4AB561-B00D-4E75-BF9C-5C403B9F1D05}" name="UAT Tester" dataDxfId="530"/>
    <tableColumn id="3" xr3:uid="{3AEA3434-E5EE-490A-88A4-DF488F747D88}" name="Test Plan" dataDxfId="529"/>
    <tableColumn id="13" xr3:uid="{60CF0CAA-73EE-471A-A56B-03F866C55991}" name="Comments" dataDxfId="528"/>
  </tableColumns>
  <tableStyleInfo name="TableStyleLight4"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5C7ED04B-D03F-4705-B96D-B379C079E289}" name="Table6" displayName="Table6" ref="D128:D133" totalsRowShown="0" headerRowDxfId="1823" dataDxfId="1822">
  <autoFilter ref="D128:D133" xr:uid="{5C7ED04B-D03F-4705-B96D-B379C079E289}"/>
  <tableColumns count="1">
    <tableColumn id="1" xr3:uid="{1BFE90E1-D669-41F8-8DD9-31539DC67B5F}" name="Hardware" dataDxfId="1821"/>
  </tableColumns>
  <tableStyleInfo name="TableStyleLight1" showFirstColumn="0" showLastColumn="0" showRowStripes="1" showColumnStripes="0"/>
</table>
</file>

<file path=xl/tables/table9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4" xr:uid="{16BB507C-960C-48F7-9096-4611F8298564}" name="Table4765" displayName="Table4765" ref="D46:H53" totalsRowShown="0" headerRowDxfId="497" dataDxfId="496">
  <autoFilter ref="D46:H53" xr:uid="{16BB507C-960C-48F7-9096-4611F8298564}"/>
  <tableColumns count="5">
    <tableColumn id="1" xr3:uid="{9A4897FF-BF13-4AA5-8FD9-84901120CE7D}" name="Function" dataDxfId="495"/>
    <tableColumn id="2" xr3:uid="{BA35241F-4161-46CE-AEA9-C4FD917A7D44}" name="Criticality" dataDxfId="494"/>
    <tableColumn id="4" xr3:uid="{94EB8EDB-13A3-4728-8F21-DF02C22E5FAA}" name="Services" dataDxfId="493"/>
    <tableColumn id="3" xr3:uid="{18105E30-4B07-4079-BA66-D9E0C64049CA}" name="Failover Test" dataDxfId="492"/>
    <tableColumn id="5" xr3:uid="{A7BC46AF-C576-4A0E-ABD9-5D2BB97F9DDF}" name="Reason" dataDxfId="491"/>
  </tableColumns>
  <tableStyleInfo name="TableStyleLight4" showFirstColumn="0" showLastColumn="0" showRowStripes="1" showColumnStripes="0"/>
</table>
</file>

<file path=xl/tables/table9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4" xr:uid="{D085DE6D-984F-42BC-95AF-FA9AED418F4E}" name="Table47659495" displayName="Table47659495" ref="D46:H53" totalsRowShown="0" headerRowDxfId="461" dataDxfId="460">
  <autoFilter ref="D46:H53" xr:uid="{D085DE6D-984F-42BC-95AF-FA9AED418F4E}"/>
  <tableColumns count="5">
    <tableColumn id="1" xr3:uid="{84979B59-6A4F-4310-9CA0-261A906D5952}" name="Function" dataDxfId="459"/>
    <tableColumn id="2" xr3:uid="{4A831B67-978F-4DB1-962F-FF80E9CEED69}" name="Criticality" dataDxfId="458"/>
    <tableColumn id="4" xr3:uid="{02470292-8129-4A19-B301-68EF212A3159}" name="Services" dataDxfId="457"/>
    <tableColumn id="3" xr3:uid="{1D107FDE-D59B-422D-A2A5-B38DE18B7CB3}" name="Failover Test" dataDxfId="456"/>
    <tableColumn id="5" xr3:uid="{52FF7867-6BFF-4D04-B39D-C27BA1E7C2C9}" name="Reason" dataDxfId="455"/>
  </tableColumns>
  <tableStyleInfo name="TableStyleLight4" showFirstColumn="0" showLastColumn="0" showRowStripes="1" showColumnStripes="0"/>
</table>
</file>

<file path=xl/tables/table9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CFD24200-79DC-4C56-9269-E43520D6F1BE}" name="Table31" displayName="Table31" ref="D33:K47" totalsRowShown="0" headerRowDxfId="434" dataDxfId="433">
  <autoFilter ref="D33:K47" xr:uid="{CFD24200-79DC-4C56-9269-E43520D6F1BE}"/>
  <tableColumns count="8">
    <tableColumn id="1" xr3:uid="{CFC3A9F1-EE88-4687-89C9-CDFB515DBDF9}" name="Artefact (1)" dataDxfId="432"/>
    <tableColumn id="2" xr3:uid="{6064FEA5-777C-420F-B805-7066EB01035A}" name="Description" dataDxfId="431"/>
    <tableColumn id="3" xr3:uid="{98C43A08-F04E-465F-88C5-3A1FD04CDD47}" name="Frequency (2)" dataDxfId="430"/>
    <tableColumn id="4" xr3:uid="{C144CB38-4365-4384-B74B-443B8E11A2E7}" name="Owner (3)" dataDxfId="429"/>
    <tableColumn id="8" xr3:uid="{BF7CF1D4-1AE1-4E1E-B15A-591AB2F82E41}" name="Approver (4)" dataDxfId="428"/>
    <tableColumn id="5" xr3:uid="{10091787-4A0D-4814-9D4D-ED89AF62A55F}" name="Last Review" dataDxfId="427"/>
    <tableColumn id="9" xr3:uid="{99B6408D-1455-49D6-80BC-CDFB4DC320D8}" name="Status" dataDxfId="426"/>
    <tableColumn id="6" xr3:uid="{D70222F1-44DE-4A55-B318-88C5D801F870}" name="Next Review" dataDxfId="425">
      <calculatedColumnFormula>DATE(YEAR(I34),MONTH(I34)+6,DAY(I34))</calculatedColumnFormula>
    </tableColumn>
  </tableColumns>
  <tableStyleInfo name="TableStyleLight4" showFirstColumn="0" showLastColumn="0" showRowStripes="1" showColumnStripes="0"/>
</table>
</file>

<file path=xl/tables/table9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7" xr:uid="{E48938C3-3388-4D79-8EB3-B02095561E3B}" name="Table2348" displayName="Table2348" ref="D23:J60" totalsRowShown="0" headerRowDxfId="424" dataDxfId="423" tableBorderDxfId="422">
  <autoFilter ref="D23:J60" xr:uid="{5B490A1C-0636-4260-B786-8CD50193FBB2}"/>
  <sortState xmlns:xlrd2="http://schemas.microsoft.com/office/spreadsheetml/2017/richdata2" ref="D24:J60">
    <sortCondition ref="D23:D60"/>
  </sortState>
  <tableColumns count="7">
    <tableColumn id="1" xr3:uid="{A271085B-3413-4D8A-AFCE-5FC0D635CFD4}" name="ID" dataDxfId="421"/>
    <tableColumn id="10" xr3:uid="{6AAE7D25-653B-48BA-BA53-DE3D26620503}" name="Category" dataDxfId="420"/>
    <tableColumn id="2" xr3:uid="{068B743F-6068-42B2-847C-5E643ECF4B20}" name="Item" dataDxfId="419"/>
    <tableColumn id="3" xr3:uid="{AE8C8E81-DD9C-4E83-AC74-8FAEB34589C6}" name="Example" dataDxfId="418"/>
    <tableColumn id="6" xr3:uid="{603A87E9-0324-44A1-BF9A-55A72CD3CE82}" name="Owner" dataDxfId="417"/>
    <tableColumn id="7" xr3:uid="{2A2136C9-B1AF-4308-892E-EC231448E51C}" name="Stakeholder(s)" dataDxfId="416"/>
    <tableColumn id="9" xr3:uid="{3E2B8F5B-E5FF-45C4-8279-E08D04B38C85}" name="Comments" dataDxfId="415"/>
  </tableColumns>
  <tableStyleInfo name="TableStyleLight4" showFirstColumn="0" showLastColumn="0" showRowStripes="1" showColumnStripes="0"/>
</table>
</file>

<file path=xl/tables/table9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6" xr:uid="{6F3F839F-9F98-41B7-A0F1-F36868999AA0}" name="Table86" displayName="Table86" ref="D27:K34" totalsRowShown="0" headerRowDxfId="410" dataDxfId="409">
  <autoFilter ref="D27:K34" xr:uid="{6F3F839F-9F98-41B7-A0F1-F36868999AA0}"/>
  <tableColumns count="8">
    <tableColumn id="7" xr3:uid="{78ABE14E-56D6-496F-A0B8-2D4EA3E1D21E}" name="Risk" dataDxfId="408">
      <calculatedColumnFormula>Table86[[#This Row],[Impact Rating]]*Table86[[#This Row],[Exposure Rating]]</calculatedColumnFormula>
    </tableColumn>
    <tableColumn id="1" xr3:uid="{BF28BF4F-F64D-408B-BB2E-A6EB5B449BE9}" name="Hazard" dataDxfId="407"/>
    <tableColumn id="2" xr3:uid="{87DAE975-84C2-4011-B0DD-6ACF4A4638AD}" name="Examples" dataDxfId="406"/>
    <tableColumn id="4" xr3:uid="{18AD5031-6A77-4D95-B9B1-10927B8E0D2D}" name="Impact Rating" dataDxfId="405"/>
    <tableColumn id="3" xr3:uid="{3DAD0304-8A7C-452E-B619-E958363B016E}" name="Impact Description" dataDxfId="404"/>
    <tableColumn id="11" xr3:uid="{9FB3EE95-5454-44A9-8160-A411F74E2180}" name="Exposure Rating" dataDxfId="403"/>
    <tableColumn id="5" xr3:uid="{8EE921F1-1EC2-4EDC-A8DC-CF211974ED9D}" name="Exposure Location, Event Scope" dataDxfId="402"/>
    <tableColumn id="9" xr3:uid="{F816D0B6-DC78-456C-8868-E056E045B9E8}" name="Exposure Description" dataDxfId="401"/>
  </tableColumns>
  <tableStyleInfo name="TableStyleLight4" showFirstColumn="0" showLastColumn="0" showRowStripes="1" showColumnStripes="0"/>
</table>
</file>

<file path=xl/tables/table9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5" xr:uid="{7ECAC6D7-C9F0-438E-BFFD-AFD86B62F6E1}" name="Table648666" displayName="Table648666" ref="D26:AJ39" totalsRowShown="0" headerRowDxfId="390" dataDxfId="389">
  <autoFilter ref="D26:AJ39" xr:uid="{E48A1A5B-DBFE-4CC1-9C40-C422E85CB9B4}"/>
  <sortState xmlns:xlrd2="http://schemas.microsoft.com/office/spreadsheetml/2017/richdata2" ref="D27:AF39">
    <sortCondition ref="D26:D39"/>
  </sortState>
  <tableColumns count="33">
    <tableColumn id="2" xr3:uid="{3C22B08C-7D87-45CB-A2AD-25B68485A66A}" name="Recovery Order (1)" dataDxfId="388"/>
    <tableColumn id="3" xr3:uid="{38B7EDB3-91C9-47F0-BD0D-CD1A3A3B9EF9}" name="Application Name" dataDxfId="387"/>
    <tableColumn id="17" xr3:uid="{24B4C820-3AA6-4AF7-8156-750DF60E6F9F}" name="Business Function" dataDxfId="386"/>
    <tableColumn id="4" xr3:uid="{67EA78B8-0D3C-46FC-B956-00215273443A}" name="Criticality" dataDxfId="385"/>
    <tableColumn id="5" xr3:uid="{D06074CF-FBA3-47DE-B07A-8B5D2113FE2F}" name="Criticality Window" dataDxfId="384"/>
    <tableColumn id="22" xr3:uid="{D84066EC-D1A6-47BC-ABAC-2BB4D0F4B6C3}" name="Environment" dataDxfId="383"/>
    <tableColumn id="23" xr3:uid="{9E25168F-8451-494A-92F5-9D95522B513E}" name="Location Details" dataDxfId="382"/>
    <tableColumn id="13" xr3:uid="{61298BDF-ED2D-4CEF-BACE-FF83AD0FBF99}" name="Upstream Dependencies" dataDxfId="381"/>
    <tableColumn id="14" xr3:uid="{7AB98627-31CF-4461-87F6-4EC7CC7F5060}" name="Downstream Dependencies" dataDxfId="380"/>
    <tableColumn id="1" xr3:uid="{EDD12FD2-B656-4851-A3CB-DE6B7748015B}" name="Recovery Options (2)" dataDxfId="379"/>
    <tableColumn id="32" xr3:uid="{4939C400-99A1-4481-BF62-6C5EF520BB71}" name="Origin Geography" dataDxfId="378"/>
    <tableColumn id="31" xr3:uid="{9507F5E0-46ED-45D9-899E-BBCB87B8A461}" name="Restore Geography" dataDxfId="377"/>
    <tableColumn id="30" xr3:uid="{71762C87-8265-4B0B-ABEF-58C87E52B407}" name="Failed Region(s)" dataDxfId="376"/>
    <tableColumn id="27" xr3:uid="{2F577474-0A6D-4E54-A151-70A7376B5AC2}" name="Restore Region(s)" dataDxfId="375"/>
    <tableColumn id="12" xr3:uid="{9279714C-697D-40BF-A7B4-43DB2177CE6F}" name="Redeploy Procedure" dataDxfId="374"/>
    <tableColumn id="8" xr3:uid="{D2280035-99BB-4CB5-98D0-CE8BFB10C9C6}" name="Availability Continuity Procedure" dataDxfId="373"/>
    <tableColumn id="6" xr3:uid="{1ECA0F19-A210-4997-A273-09F38A529471}" name="Recovery Procedure" dataDxfId="372"/>
    <tableColumn id="28" xr3:uid="{07893633-8627-4CCF-BE2B-910C0D9CC3DD}" name="Composite SLA" dataDxfId="371"/>
    <tableColumn id="21" xr3:uid="{3752EAD9-10EB-4676-BBDD-9158976F1F8D}" name="MTD" dataDxfId="370"/>
    <tableColumn id="19" xr3:uid="{76E534DE-BD60-467A-BD31-80EFA2BE41DD}" name="Availability RPA (Hours)" dataDxfId="369"/>
    <tableColumn id="18" xr3:uid="{D42E980D-2C26-49A3-9313-6C34EFCCAE7C}" name="Availability RTA (Hours)" dataDxfId="368"/>
    <tableColumn id="25" xr3:uid="{EF678A1C-1FC4-4021-8EC1-CBCF079F64C5}" name="Recovery RPA (Hours)" dataDxfId="367"/>
    <tableColumn id="24" xr3:uid="{C66B1FEC-EDF2-43FF-A921-2DE6B7EB4CD1}" name="Recovery RTA (Hours)" dataDxfId="366"/>
    <tableColumn id="7" xr3:uid="{055A712A-B032-42E8-AD65-9F3512C5D269}" name="Contingency Plan" dataDxfId="365"/>
    <tableColumn id="33" xr3:uid="{C58A1595-7E35-4B74-9C82-708C3BE0D42D}" name="Test Plans and Status" dataDxfId="364"/>
    <tableColumn id="20" xr3:uid="{09D610D8-497B-4F76-AED0-6F5589499765}" name="Communication Plan" dataDxfId="363"/>
    <tableColumn id="9" xr3:uid="{61BF351D-FE42-448F-94AC-F815E65911CB}" name="Business Owner" dataDxfId="362"/>
    <tableColumn id="10" xr3:uid="{BAFD05AD-9049-4762-8124-B1CD0BD7C380}" name="BCDR Owner" dataDxfId="361"/>
    <tableColumn id="11" xr3:uid="{F1F2BD0A-BCA0-400B-B5E5-3149F5B4F2CF}" name="DR Engineer" dataDxfId="360"/>
    <tableColumn id="15" xr3:uid="{DE99959A-B2C7-4E93-AD6F-AE9D594BB3EC}" name="Activation Criteria" dataDxfId="359"/>
    <tableColumn id="16" xr3:uid="{0110D6F9-2E59-40C1-933A-1B67EAD9EE4F}" name="Activation Approver" dataDxfId="358"/>
    <tableColumn id="29" xr3:uid="{9E730159-7781-46F9-9687-2CD6F25A779B}" name="Recovery Team" dataDxfId="357"/>
    <tableColumn id="26" xr3:uid="{962542A1-DFD6-49B2-84F8-5E71C009836D}" name="Recovery Completion" dataDxfId="356"/>
  </tableColumns>
  <tableStyleInfo name="TableStyleLight4" showFirstColumn="0" showLastColumn="0" showRowStripes="1" showColumnStripes="0"/>
</table>
</file>

<file path=xl/tables/table9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5" xr:uid="{B78716E7-408F-45D0-9C75-AC8E4B70600F}" name="Table85" displayName="Table85" ref="D45:K56" totalsRowCount="1" headerRowDxfId="355" dataDxfId="354">
  <autoFilter ref="D45:K55" xr:uid="{B78716E7-408F-45D0-9C75-AC8E4B70600F}"/>
  <tableColumns count="8">
    <tableColumn id="1" xr3:uid="{9664E8BA-97E8-46C9-A77E-B0F2B1881292}" name="Recovery Order Number" totalsRowLabel="Total" dataDxfId="352" totalsRowDxfId="353"/>
    <tableColumn id="8" xr3:uid="{E136C982-79AD-4B04-B921-F2F9F8CB924F}" name="Recovery Team" dataDxfId="350" totalsRowDxfId="351"/>
    <tableColumn id="7" xr3:uid="{63D239CC-48AA-4D25-8C32-98C801DEAFBE}" name="MTD (MAX)" totalsRowFunction="custom" dataDxfId="348" totalsRowDxfId="349">
      <totalsRowFormula>SUM(F46:F55)</totalsRowFormula>
    </tableColumn>
    <tableColumn id="4" xr3:uid="{90DDD542-9714-44BF-BC0C-F9C79D105312}" name="MTD (MIN)" totalsRowFunction="custom" dataDxfId="346" totalsRowDxfId="347">
      <calculatedColumnFormula>_xlfn.MAXIFS(Table648666[MTD],Table648666[Recovery Order (1)],5)</calculatedColumnFormula>
      <totalsRowFormula>SUM(G46:G55)</totalsRowFormula>
    </tableColumn>
    <tableColumn id="5" xr3:uid="{8787C436-ADDA-4D92-B5EE-4467FACC13FC}" name="Availability RTA (MAX)" totalsRowFunction="custom" dataDxfId="344" totalsRowDxfId="345">
      <totalsRowFormula>SUM(H46:H55)</totalsRowFormula>
    </tableColumn>
    <tableColumn id="2" xr3:uid="{07CA0B10-35FC-4375-9B05-403FD3E3E207}" name="Availability RTA (MIN)" totalsRowFunction="custom" dataDxfId="342" totalsRowDxfId="343">
      <totalsRowFormula>SUM(I46:I55)</totalsRowFormula>
    </tableColumn>
    <tableColumn id="6" xr3:uid="{A43B6EC7-2786-4AE2-8824-CE18A27C5C08}" name="Recoverability RTA (MAX)" totalsRowFunction="custom" dataDxfId="340" totalsRowDxfId="341">
      <totalsRowFormula>SUM(J46:J55)</totalsRowFormula>
    </tableColumn>
    <tableColumn id="3" xr3:uid="{C797B248-15D9-49E3-9CFB-CEA1328A9F4E}" name="Recoverability RTA (MIN)" totalsRowFunction="custom" dataDxfId="338" totalsRowDxfId="339">
      <totalsRowFormula>SUM(K46:K55)</totalsRowFormula>
    </tableColumn>
  </tableColumns>
  <tableStyleInfo name="TableStyleLight4" showFirstColumn="0" showLastColumn="0" showRowStripes="1" showColumnStripes="0"/>
</table>
</file>

<file path=xl/tables/table9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3" xr:uid="{4ECF3ED1-6C68-4D3F-8A87-0CBD483C7595}" name="JanuaryAssignments14" displayName="JanuaryAssignments14" ref="C11:E41" totalsRowShown="0" headerRowDxfId="301" dataDxfId="300" headerRowCellStyle="Time">
  <autoFilter ref="C11:E41" xr:uid="{4ECF3ED1-6C68-4D3F-8A87-0CBD483C7595}"/>
  <tableColumns count="3">
    <tableColumn id="1" xr3:uid="{3ADC5EAB-E175-4A14-8884-E66237B02B18}" name="Day of the week" dataDxfId="299"/>
    <tableColumn id="2" xr3:uid="{E1E2A5FC-1970-4AA7-8375-A9B15CC81160}" name="Calendar day" dataDxfId="298" dataCellStyle="Date"/>
    <tableColumn id="3" xr3:uid="{FC77B6FB-38D9-414A-A1D5-1B3131312129}" name="Events" dataDxfId="297"/>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9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4" xr:uid="{CEE3BE11-85B2-4B05-8B89-E37E73FEF3C4}" name="FebruaryAssignments15" displayName="FebruaryAssignments15" ref="G11:I41" totalsRowShown="0" headerRowDxfId="296" dataDxfId="295" headerRowBorderDxfId="294">
  <autoFilter ref="G11:I41" xr:uid="{CEE3BE11-85B2-4B05-8B89-E37E73FEF3C4}"/>
  <tableColumns count="3">
    <tableColumn id="1" xr3:uid="{2195D89B-D126-4F87-B0C4-954524BF199B}" name="Day of the week" dataDxfId="293"/>
    <tableColumn id="2" xr3:uid="{369837DD-83C0-4019-A910-FF0C4592C032}" name="Calendar day" dataDxfId="292" dataCellStyle="Date"/>
    <tableColumn id="3" xr3:uid="{2F384352-8CB8-4F0E-B9CE-7AE55C02DB3C}" name="Events" dataDxfId="291"/>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ables/table9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5" xr:uid="{B86DE2D0-A8E3-4890-AF63-428A5FD45D4B}" name="MachrAssignments17" displayName="MachrAssignments17" ref="K11:M41" totalsRowShown="0" headerRowDxfId="290" dataDxfId="289">
  <autoFilter ref="K11:M41" xr:uid="{B86DE2D0-A8E3-4890-AF63-428A5FD45D4B}"/>
  <tableColumns count="3">
    <tableColumn id="1" xr3:uid="{502DD4E2-5679-482D-B441-BD4927A98D51}" name="Day of the week" dataDxfId="288"/>
    <tableColumn id="2" xr3:uid="{31AE17CB-E8AF-4DF3-AE68-A850E23D90B3}" name="Calendar day" dataDxfId="287" dataCellStyle="Date"/>
    <tableColumn id="3" xr3:uid="{0FBAEBCA-1EC3-4C59-8BFD-D57BA6EA0260}" name="Events" dataDxfId="286"/>
  </tableColumns>
  <tableStyleInfo name="TableStyleLight4" showFirstColumn="1" showLastColumn="0" showRowStripes="1" showColumnStripes="0"/>
  <extLst>
    <ext xmlns:x14="http://schemas.microsoft.com/office/spreadsheetml/2009/9/main" uri="{504A1905-F514-4f6f-8877-14C23A59335A}">
      <x14:table altTextSummary="Enter a day &amp; assignment for the weekday in column J. Assignments will be highlighted in the calendar for this month in this worksheet"/>
    </ext>
  </extLst>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0.bin"/><Relationship Id="rId1" Type="http://schemas.openxmlformats.org/officeDocument/2006/relationships/hyperlink" Target="https://learn.microsoft.com/en-us/azure/cloud-adoption-framework/organize/raci-alignment" TargetMode="External"/><Relationship Id="rId4" Type="http://schemas.openxmlformats.org/officeDocument/2006/relationships/table" Target="../tables/table5.xml"/></Relationships>
</file>

<file path=xl/worksheets/_rels/sheet11.xml.rels><?xml version="1.0" encoding="UTF-8" standalone="yes"?>
<Relationships xmlns="http://schemas.openxmlformats.org/package/2006/relationships"><Relationship Id="rId8" Type="http://schemas.openxmlformats.org/officeDocument/2006/relationships/hyperlink" Target="https://learn.microsoft.com/en-us/security/benchmark/azure/mcsb-posture-vulnerability-management" TargetMode="External"/><Relationship Id="rId13" Type="http://schemas.openxmlformats.org/officeDocument/2006/relationships/printerSettings" Target="../printerSettings/printerSettings11.bin"/><Relationship Id="rId3" Type="http://schemas.openxmlformats.org/officeDocument/2006/relationships/hyperlink" Target="https://learn.microsoft.com/en-us/security/benchmark/azure/mcsb-network-security" TargetMode="External"/><Relationship Id="rId7" Type="http://schemas.openxmlformats.org/officeDocument/2006/relationships/hyperlink" Target="https://learn.microsoft.com/en-us/security/benchmark/azure/mcsb-logging-threat-detection" TargetMode="External"/><Relationship Id="rId12" Type="http://schemas.openxmlformats.org/officeDocument/2006/relationships/hyperlink" Target="https://learn.microsoft.com/en-us/azure/defender-for-cloud/update-regulatory-compliance-packages" TargetMode="External"/><Relationship Id="rId2" Type="http://schemas.openxmlformats.org/officeDocument/2006/relationships/hyperlink" Target="https://learn.microsoft.com/en-us/security/benchmark/azure/mcsb-identity-management" TargetMode="External"/><Relationship Id="rId16" Type="http://schemas.microsoft.com/office/2007/relationships/slicer" Target="../slicers/slicer1.xml"/><Relationship Id="rId1" Type="http://schemas.openxmlformats.org/officeDocument/2006/relationships/hyperlink" Target="https://learn.microsoft.com/en-us/assessments/azure-architecture-review/" TargetMode="External"/><Relationship Id="rId6" Type="http://schemas.openxmlformats.org/officeDocument/2006/relationships/hyperlink" Target="https://learn.microsoft.com/en-us/security/benchmark/azure/mcsb-logging-threat-detection" TargetMode="External"/><Relationship Id="rId11" Type="http://schemas.openxmlformats.org/officeDocument/2006/relationships/hyperlink" Target="https://learn.microsoft.com/en-us/azure/defender-for-cloud/plan-multicloud-security-determine-compliance-requirements" TargetMode="External"/><Relationship Id="rId5" Type="http://schemas.openxmlformats.org/officeDocument/2006/relationships/hyperlink" Target="https://learn.microsoft.com/en-us/security/benchmark/azure/mcsb-data-protection" TargetMode="External"/><Relationship Id="rId15" Type="http://schemas.openxmlformats.org/officeDocument/2006/relationships/table" Target="../tables/table6.xml"/><Relationship Id="rId10" Type="http://schemas.openxmlformats.org/officeDocument/2006/relationships/hyperlink" Target="https://learn.microsoft.com/en-us/security/benchmark/azure/mcsb-backup-recovery" TargetMode="External"/><Relationship Id="rId4" Type="http://schemas.openxmlformats.org/officeDocument/2006/relationships/hyperlink" Target="https://learn.microsoft.com/en-us/security/benchmark/azure/mcsb-privileged-access" TargetMode="External"/><Relationship Id="rId9" Type="http://schemas.openxmlformats.org/officeDocument/2006/relationships/hyperlink" Target="https://learn.microsoft.com/en-us/security/benchmark/azure/mcsb-backup-recovery" TargetMode="External"/><Relationship Id="rId1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8" Type="http://schemas.openxmlformats.org/officeDocument/2006/relationships/hyperlink" Target="https://learn.microsoft.com/en-us/azure/well-architected/resiliency/reliability-patterns" TargetMode="External"/><Relationship Id="rId13" Type="http://schemas.openxmlformats.org/officeDocument/2006/relationships/hyperlink" Target="https://www.red-button.net/" TargetMode="External"/><Relationship Id="rId18" Type="http://schemas.openxmlformats.org/officeDocument/2006/relationships/hyperlink" Target="https://learn.microsoft.com/en-us/azure/chaos-studio/" TargetMode="External"/><Relationship Id="rId26" Type="http://schemas.openxmlformats.org/officeDocument/2006/relationships/drawing" Target="../drawings/drawing12.xml"/><Relationship Id="rId3" Type="http://schemas.openxmlformats.org/officeDocument/2006/relationships/hyperlink" Target="https://learn.microsoft.com/en-us/azure/well-architected/resiliency/testing" TargetMode="External"/><Relationship Id="rId21" Type="http://schemas.openxmlformats.org/officeDocument/2006/relationships/hyperlink" Target="https://learn.microsoft.com/en-us/azure/well-architected/scalability/load-testing" TargetMode="External"/><Relationship Id="rId7" Type="http://schemas.openxmlformats.org/officeDocument/2006/relationships/hyperlink" Target="https://learn.microsoft.com/en-us/azure/well-architected/resiliency/monitor-checklist" TargetMode="External"/><Relationship Id="rId12" Type="http://schemas.openxmlformats.org/officeDocument/2006/relationships/hyperlink" Target="https://www.ixiacom.com/products/breakingpoint-cloud" TargetMode="External"/><Relationship Id="rId17" Type="http://schemas.openxmlformats.org/officeDocument/2006/relationships/hyperlink" Target="https://learn.microsoft.com/en-us/azure/security/fundamentals/pen-testing" TargetMode="External"/><Relationship Id="rId25" Type="http://schemas.openxmlformats.org/officeDocument/2006/relationships/printerSettings" Target="../printerSettings/printerSettings12.bin"/><Relationship Id="rId2" Type="http://schemas.openxmlformats.org/officeDocument/2006/relationships/hyperlink" Target="https://learn.microsoft.com/en-us/azure/well-architected/resiliency/test-checklist?source=recommendations" TargetMode="External"/><Relationship Id="rId16" Type="http://schemas.openxmlformats.org/officeDocument/2006/relationships/hyperlink" Target="https://learn.microsoft.com/en-us/azure/security/fundamentals/pen-testing" TargetMode="External"/><Relationship Id="rId20" Type="http://schemas.openxmlformats.org/officeDocument/2006/relationships/hyperlink" Target="https://learn.microsoft.com/en-us/azure/well-architected/scalability/performance-test" TargetMode="External"/><Relationship Id="rId1" Type="http://schemas.openxmlformats.org/officeDocument/2006/relationships/hyperlink" Target="https://learn.microsoft.com/en-us/azure/well-architected/mission-critical/mission-critical-deployment-testing" TargetMode="External"/><Relationship Id="rId6" Type="http://schemas.openxmlformats.org/officeDocument/2006/relationships/hyperlink" Target="https://learn.microsoft.com/en-us/azure/well-architected/resiliency/test-best-practices" TargetMode="External"/><Relationship Id="rId11" Type="http://schemas.openxmlformats.org/officeDocument/2006/relationships/hyperlink" Target="https://learn.microsoft.com/en-us/visualstudio/test/unit-test-basics?view=vs-2022" TargetMode="External"/><Relationship Id="rId24" Type="http://schemas.openxmlformats.org/officeDocument/2006/relationships/hyperlink" Target="https://learn.microsoft.com/en-us/azure/chaos-studio/" TargetMode="External"/><Relationship Id="rId5" Type="http://schemas.openxmlformats.org/officeDocument/2006/relationships/hyperlink" Target="https://learn.microsoft.com/en-us/azure/well-architected/resiliency/chaos-engineering" TargetMode="External"/><Relationship Id="rId15" Type="http://schemas.openxmlformats.org/officeDocument/2006/relationships/hyperlink" Target="https://learn.microsoft.com/en-us/azure/security/fundamentals/pen-testing" TargetMode="External"/><Relationship Id="rId23" Type="http://schemas.openxmlformats.org/officeDocument/2006/relationships/hyperlink" Target="https://learn.microsoft.com/en-us/azure/chaos-studio/" TargetMode="External"/><Relationship Id="rId10" Type="http://schemas.openxmlformats.org/officeDocument/2006/relationships/hyperlink" Target="https://learn.microsoft.com/en-us/azure/security/fundamentals/pen-testing" TargetMode="External"/><Relationship Id="rId19" Type="http://schemas.openxmlformats.org/officeDocument/2006/relationships/hyperlink" Target="https://learn.microsoft.com/en-us/azure/load-testing/" TargetMode="External"/><Relationship Id="rId4" Type="http://schemas.openxmlformats.org/officeDocument/2006/relationships/hyperlink" Target="https://learn.microsoft.com/en-us/azure/well-architected/resiliency/backup-and-recovery" TargetMode="External"/><Relationship Id="rId9" Type="http://schemas.openxmlformats.org/officeDocument/2006/relationships/hyperlink" Target="https://learn.microsoft.com/en-US/azure/chaos-studio/chaos-studio-overview" TargetMode="External"/><Relationship Id="rId14" Type="http://schemas.openxmlformats.org/officeDocument/2006/relationships/hyperlink" Target="https://www.redwolfsecurity.com/services/" TargetMode="External"/><Relationship Id="rId22" Type="http://schemas.openxmlformats.org/officeDocument/2006/relationships/hyperlink" Target="https://learn.microsoft.com/en-us/azure/chaos-studio/" TargetMode="External"/><Relationship Id="rId27" Type="http://schemas.openxmlformats.org/officeDocument/2006/relationships/table" Target="../tables/table7.xml"/></Relationships>
</file>

<file path=xl/worksheets/_rels/sheet13.xml.rels><?xml version="1.0" encoding="UTF-8" standalone="yes"?>
<Relationships xmlns="http://schemas.openxmlformats.org/package/2006/relationships"><Relationship Id="rId8" Type="http://schemas.openxmlformats.org/officeDocument/2006/relationships/hyperlink" Target="https://learn.microsoft.com/en-us/security/benchmark/azure/mcsb-posture-vulnerability-management" TargetMode="External"/><Relationship Id="rId13" Type="http://schemas.openxmlformats.org/officeDocument/2006/relationships/hyperlink" Target="https://learn.microsoft.com/en-us/azure/defender-for-cloud/update-regulatory-compliance-packages" TargetMode="External"/><Relationship Id="rId3" Type="http://schemas.openxmlformats.org/officeDocument/2006/relationships/hyperlink" Target="https://learn.microsoft.com/en-us/security/benchmark/azure/mcsb-network-security" TargetMode="External"/><Relationship Id="rId7" Type="http://schemas.openxmlformats.org/officeDocument/2006/relationships/hyperlink" Target="https://learn.microsoft.com/en-us/security/benchmark/azure/mcsb-logging-threat-detection" TargetMode="External"/><Relationship Id="rId12" Type="http://schemas.openxmlformats.org/officeDocument/2006/relationships/hyperlink" Target="https://learn.microsoft.com/en-us/azure/defender-for-cloud/plan-multicloud-security-determine-compliance-requirements" TargetMode="External"/><Relationship Id="rId17" Type="http://schemas.microsoft.com/office/2007/relationships/slicer" Target="../slicers/slicer2.xml"/><Relationship Id="rId2" Type="http://schemas.openxmlformats.org/officeDocument/2006/relationships/hyperlink" Target="https://learn.microsoft.com/en-us/security/benchmark/azure/mcsb-identity-management" TargetMode="External"/><Relationship Id="rId16" Type="http://schemas.openxmlformats.org/officeDocument/2006/relationships/table" Target="../tables/table8.xml"/><Relationship Id="rId1" Type="http://schemas.openxmlformats.org/officeDocument/2006/relationships/hyperlink" Target="https://learn.microsoft.com/en-us/assessments/azure-architecture-review/" TargetMode="External"/><Relationship Id="rId6" Type="http://schemas.openxmlformats.org/officeDocument/2006/relationships/hyperlink" Target="https://learn.microsoft.com/en-us/security/benchmark/azure/mcsb-logging-threat-detection" TargetMode="External"/><Relationship Id="rId11" Type="http://schemas.openxmlformats.org/officeDocument/2006/relationships/hyperlink" Target="https://learn.microsoft.com/en-us/azure/architecture/web-apps/app-service/architectures/multi-region" TargetMode="External"/><Relationship Id="rId5" Type="http://schemas.openxmlformats.org/officeDocument/2006/relationships/hyperlink" Target="https://learn.microsoft.com/en-us/security/benchmark/azure/mcsb-data-protection" TargetMode="External"/><Relationship Id="rId15" Type="http://schemas.openxmlformats.org/officeDocument/2006/relationships/drawing" Target="../drawings/drawing13.xml"/><Relationship Id="rId10" Type="http://schemas.openxmlformats.org/officeDocument/2006/relationships/hyperlink" Target="https://learn.microsoft.com/en-us/security/benchmark/azure/mcsb-backup-recovery" TargetMode="External"/><Relationship Id="rId4" Type="http://schemas.openxmlformats.org/officeDocument/2006/relationships/hyperlink" Target="https://learn.microsoft.com/en-us/security/benchmark/azure/mcsb-privileged-access" TargetMode="External"/><Relationship Id="rId9" Type="http://schemas.openxmlformats.org/officeDocument/2006/relationships/hyperlink" Target="https://learn.microsoft.com/en-us/security/benchmark/azure/mcsb-backup-recovery" TargetMode="External"/><Relationship Id="rId14"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8" Type="http://schemas.openxmlformats.org/officeDocument/2006/relationships/table" Target="../tables/table11.xml"/><Relationship Id="rId13" Type="http://schemas.openxmlformats.org/officeDocument/2006/relationships/table" Target="../tables/table16.xml"/><Relationship Id="rId18" Type="http://schemas.openxmlformats.org/officeDocument/2006/relationships/table" Target="../tables/table21.xml"/><Relationship Id="rId3" Type="http://schemas.openxmlformats.org/officeDocument/2006/relationships/hyperlink" Target="https://learn.microsoft.com/en-us/azure/azure-monitor/vm/vminsights-maps?source=recommendations" TargetMode="External"/><Relationship Id="rId21" Type="http://schemas.openxmlformats.org/officeDocument/2006/relationships/table" Target="../tables/table24.xml"/><Relationship Id="rId7" Type="http://schemas.openxmlformats.org/officeDocument/2006/relationships/table" Target="../tables/table10.xml"/><Relationship Id="rId12" Type="http://schemas.openxmlformats.org/officeDocument/2006/relationships/table" Target="../tables/table15.xml"/><Relationship Id="rId17" Type="http://schemas.openxmlformats.org/officeDocument/2006/relationships/table" Target="../tables/table20.xml"/><Relationship Id="rId25" Type="http://schemas.openxmlformats.org/officeDocument/2006/relationships/table" Target="../tables/table28.xml"/><Relationship Id="rId2" Type="http://schemas.openxmlformats.org/officeDocument/2006/relationships/hyperlink" Target="https://learn.microsoft.com/en-us/azure/azure-monitor/app/app-map?tabs=net" TargetMode="External"/><Relationship Id="rId16" Type="http://schemas.openxmlformats.org/officeDocument/2006/relationships/table" Target="../tables/table19.xml"/><Relationship Id="rId20" Type="http://schemas.openxmlformats.org/officeDocument/2006/relationships/table" Target="../tables/table23.xml"/><Relationship Id="rId1" Type="http://schemas.openxmlformats.org/officeDocument/2006/relationships/hyperlink" Target="https://learn.microsoft.com/en-us/azure/architecture/web-apps/app-service/architectures/multi-region" TargetMode="External"/><Relationship Id="rId6" Type="http://schemas.openxmlformats.org/officeDocument/2006/relationships/table" Target="../tables/table9.xml"/><Relationship Id="rId11" Type="http://schemas.openxmlformats.org/officeDocument/2006/relationships/table" Target="../tables/table14.xml"/><Relationship Id="rId24" Type="http://schemas.openxmlformats.org/officeDocument/2006/relationships/table" Target="../tables/table27.xml"/><Relationship Id="rId5" Type="http://schemas.openxmlformats.org/officeDocument/2006/relationships/drawing" Target="../drawings/drawing14.xml"/><Relationship Id="rId15" Type="http://schemas.openxmlformats.org/officeDocument/2006/relationships/table" Target="../tables/table18.xml"/><Relationship Id="rId23" Type="http://schemas.openxmlformats.org/officeDocument/2006/relationships/table" Target="../tables/table26.xml"/><Relationship Id="rId10" Type="http://schemas.openxmlformats.org/officeDocument/2006/relationships/table" Target="../tables/table13.xml"/><Relationship Id="rId19" Type="http://schemas.openxmlformats.org/officeDocument/2006/relationships/table" Target="../tables/table22.xml"/><Relationship Id="rId4" Type="http://schemas.openxmlformats.org/officeDocument/2006/relationships/printerSettings" Target="../printerSettings/printerSettings14.bin"/><Relationship Id="rId9" Type="http://schemas.openxmlformats.org/officeDocument/2006/relationships/table" Target="../tables/table12.xml"/><Relationship Id="rId14" Type="http://schemas.openxmlformats.org/officeDocument/2006/relationships/table" Target="../tables/table17.xml"/><Relationship Id="rId22" Type="http://schemas.openxmlformats.org/officeDocument/2006/relationships/table" Target="../tables/table25.xm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rinterSettings" Target="../printerSettings/printerSettings15.bin"/><Relationship Id="rId1" Type="http://schemas.openxmlformats.org/officeDocument/2006/relationships/hyperlink" Target="https://learn.microsoft.com/en-us/compliance/assurance/assurance-developing-your-ebcm-plan" TargetMode="External"/></Relationships>
</file>

<file path=xl/worksheets/_rels/sheet16.xml.rels><?xml version="1.0" encoding="UTF-8" standalone="yes"?>
<Relationships xmlns="http://schemas.openxmlformats.org/package/2006/relationships"><Relationship Id="rId3" Type="http://schemas.openxmlformats.org/officeDocument/2006/relationships/hyperlink" Target="https://learn.microsoft.com/en-us/azure/architecture/web-apps/app-service/architectures/multi-region" TargetMode="External"/><Relationship Id="rId2" Type="http://schemas.openxmlformats.org/officeDocument/2006/relationships/hyperlink" Target="https://github.com/Azure/reliability-workbook" TargetMode="External"/><Relationship Id="rId1" Type="http://schemas.openxmlformats.org/officeDocument/2006/relationships/hyperlink" Target="https://support.microsoft.com/en-us/office/create-a-fault-tree-analysis-diagram-11d9daff-46ea-47f8-82de-e0b5e37ade20" TargetMode="External"/><Relationship Id="rId5" Type="http://schemas.openxmlformats.org/officeDocument/2006/relationships/drawing" Target="../drawings/drawing16.xml"/><Relationship Id="rId4"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3" Type="http://schemas.openxmlformats.org/officeDocument/2006/relationships/hyperlink" Target="https://learn.microsoft.com/en-us/security/benchmark/azure/mcsb-posture-vulnerability-management" TargetMode="External"/><Relationship Id="rId18" Type="http://schemas.openxmlformats.org/officeDocument/2006/relationships/hyperlink" Target="https://www.microsoft.com/licensing/docs/view/Service-Level-Agreements-SLA-for-Online-Services?lang=1&amp;year=2023" TargetMode="External"/><Relationship Id="rId26" Type="http://schemas.openxmlformats.org/officeDocument/2006/relationships/hyperlink" Target="https://learn.microsoft.com/en-us/security/benchmark/azure/baselines/service-bus-security-baseline" TargetMode="External"/><Relationship Id="rId21" Type="http://schemas.openxmlformats.org/officeDocument/2006/relationships/hyperlink" Target="https://www.microsoft.com/licensing/docs/view/Service-Level-Agreements-SLA-for-Online-Services?lang=1&amp;year=2023" TargetMode="External"/><Relationship Id="rId34" Type="http://schemas.openxmlformats.org/officeDocument/2006/relationships/hyperlink" Target="https://learn.microsoft.com/en-us/azure/reliability/availability-zones-service-support" TargetMode="External"/><Relationship Id="rId7" Type="http://schemas.openxmlformats.org/officeDocument/2006/relationships/hyperlink" Target="https://learn.microsoft.com/en-us/security/benchmark/azure/mcsb-identity-management" TargetMode="External"/><Relationship Id="rId12" Type="http://schemas.openxmlformats.org/officeDocument/2006/relationships/hyperlink" Target="https://learn.microsoft.com/en-us/security/benchmark/azure/mcsb-logging-threat-detection" TargetMode="External"/><Relationship Id="rId17" Type="http://schemas.openxmlformats.org/officeDocument/2006/relationships/hyperlink" Target="https://www.microsoft.com/licensing/docs/view/Service-Level-Agreements-SLA-for-Online-Services?lang=1&amp;year=2023" TargetMode="External"/><Relationship Id="rId25" Type="http://schemas.openxmlformats.org/officeDocument/2006/relationships/hyperlink" Target="https://learn.microsoft.com/en-us/security/benchmark/azure/baselines/app-service-security-baseline" TargetMode="External"/><Relationship Id="rId33" Type="http://schemas.openxmlformats.org/officeDocument/2006/relationships/hyperlink" Target="https://azure.microsoft.com/en-au/pricing/calculator/" TargetMode="External"/><Relationship Id="rId38" Type="http://schemas.openxmlformats.org/officeDocument/2006/relationships/table" Target="../tables/table29.xml"/><Relationship Id="rId2" Type="http://schemas.openxmlformats.org/officeDocument/2006/relationships/hyperlink" Target="https://learn.microsoft.com/en-us/azure/reliability/availability-zones-baseline" TargetMode="External"/><Relationship Id="rId16" Type="http://schemas.openxmlformats.org/officeDocument/2006/relationships/hyperlink" Target="https://www.microsoft.com/licensing/docs/view/Service-Level-Agreements-SLA-for-Online-Services?lang=1&amp;year=2023" TargetMode="External"/><Relationship Id="rId20" Type="http://schemas.openxmlformats.org/officeDocument/2006/relationships/hyperlink" Target="https://www.microsoft.com/licensing/docs/view/Service-Level-Agreements-SLA-for-Online-Services?lang=1&amp;year=2023" TargetMode="External"/><Relationship Id="rId29" Type="http://schemas.openxmlformats.org/officeDocument/2006/relationships/hyperlink" Target="https://learn.microsoft.com/en-us/security/benchmark/azure/baselines/azure-sql-security-baseline" TargetMode="External"/><Relationship Id="rId1" Type="http://schemas.openxmlformats.org/officeDocument/2006/relationships/hyperlink" Target="https://learn.microsoft.com/en-us/azure/architecture/web-apps/app-service/architectures/multi-region" TargetMode="External"/><Relationship Id="rId6" Type="http://schemas.openxmlformats.org/officeDocument/2006/relationships/hyperlink" Target="https://learn.microsoft.com/en-us/azure/chaos-studio/chaos-studio-fault-library" TargetMode="External"/><Relationship Id="rId11" Type="http://schemas.openxmlformats.org/officeDocument/2006/relationships/hyperlink" Target="https://learn.microsoft.com/en-us/security/benchmark/azure/mcsb-logging-threat-detection" TargetMode="External"/><Relationship Id="rId24" Type="http://schemas.openxmlformats.org/officeDocument/2006/relationships/hyperlink" Target="https://learn.microsoft.com/en-us/security/benchmark/azure/baselines/azure-dns-security-baseline" TargetMode="External"/><Relationship Id="rId32" Type="http://schemas.openxmlformats.org/officeDocument/2006/relationships/hyperlink" Target="https://learn.microsoft.com/en-us/azure/reliability/availability-zones-service-support" TargetMode="External"/><Relationship Id="rId37" Type="http://schemas.openxmlformats.org/officeDocument/2006/relationships/drawing" Target="../drawings/drawing17.xml"/><Relationship Id="rId5" Type="http://schemas.openxmlformats.org/officeDocument/2006/relationships/hyperlink" Target="https://learn.microsoft.com/en-us/azure/well-architected/mission-critical/mission-critical-deployment-testing" TargetMode="External"/><Relationship Id="rId15" Type="http://schemas.openxmlformats.org/officeDocument/2006/relationships/hyperlink" Target="https://www.microsoft.com/licensing/docs/view/Service-Level-Agreements-SLA-for-Online-Services?lang=1&amp;year=2023" TargetMode="External"/><Relationship Id="rId23" Type="http://schemas.openxmlformats.org/officeDocument/2006/relationships/hyperlink" Target="https://learn.microsoft.com/en-us/security/benchmark/azure/mcsb-identity-management" TargetMode="External"/><Relationship Id="rId28" Type="http://schemas.openxmlformats.org/officeDocument/2006/relationships/hyperlink" Target="https://learn.microsoft.com/en-us/security/benchmark/azure/baselines/azure-cache-for-redis-security-baseline?toc=%2Fazure%2Fazure-cache-for-redis%2FTOC.json" TargetMode="External"/><Relationship Id="rId36" Type="http://schemas.openxmlformats.org/officeDocument/2006/relationships/printerSettings" Target="../printerSettings/printerSettings17.bin"/><Relationship Id="rId10" Type="http://schemas.openxmlformats.org/officeDocument/2006/relationships/hyperlink" Target="https://learn.microsoft.com/en-us/security/benchmark/azure/mcsb-data-protection" TargetMode="External"/><Relationship Id="rId19" Type="http://schemas.openxmlformats.org/officeDocument/2006/relationships/hyperlink" Target="https://www.microsoft.com/licensing/docs/view/Service-Level-Agreements-SLA-for-Online-Services?lang=1&amp;year=2023" TargetMode="External"/><Relationship Id="rId31" Type="http://schemas.openxmlformats.org/officeDocument/2006/relationships/hyperlink" Target="https://www.microsoft.com/licensing/docs/view/Service-Level-Agreements-SLA-for-Online-Services?lang=1&amp;year=2023" TargetMode="External"/><Relationship Id="rId4" Type="http://schemas.openxmlformats.org/officeDocument/2006/relationships/hyperlink" Target="https://azure.microsoft.com/en-us/resources/azure-defenses-for-ransomware-attack/" TargetMode="External"/><Relationship Id="rId9" Type="http://schemas.openxmlformats.org/officeDocument/2006/relationships/hyperlink" Target="https://learn.microsoft.com/en-us/security/benchmark/azure/mcsb-privileged-access" TargetMode="External"/><Relationship Id="rId14" Type="http://schemas.openxmlformats.org/officeDocument/2006/relationships/hyperlink" Target="https://learn.microsoft.com/en-us/security/benchmark/azure/mcsb-backup-recovery" TargetMode="External"/><Relationship Id="rId22" Type="http://schemas.openxmlformats.org/officeDocument/2006/relationships/hyperlink" Target="https://www.microsoft.com/licensing/docs/view/Service-Level-Agreements-SLA-for-Online-Services?lang=1&amp;year=2023" TargetMode="External"/><Relationship Id="rId27" Type="http://schemas.openxmlformats.org/officeDocument/2006/relationships/hyperlink" Target="https://learn.microsoft.com/en-us/security/benchmark/azure/baselines/functions-security-baseline" TargetMode="External"/><Relationship Id="rId30" Type="http://schemas.openxmlformats.org/officeDocument/2006/relationships/hyperlink" Target="https://learn.microsoft.com/en-us/security/benchmark/azure/baselines/azure-cosmos-db-security-baseline" TargetMode="External"/><Relationship Id="rId35" Type="http://schemas.openxmlformats.org/officeDocument/2006/relationships/hyperlink" Target="https://learn.microsoft.com/en-us/security/benchmark/azure/mcsb-backup-recovery" TargetMode="External"/><Relationship Id="rId8" Type="http://schemas.openxmlformats.org/officeDocument/2006/relationships/hyperlink" Target="https://learn.microsoft.com/en-us/security/benchmark/azure/mcsb-network-security" TargetMode="External"/><Relationship Id="rId3" Type="http://schemas.openxmlformats.org/officeDocument/2006/relationships/hyperlink" Target="https://azure.microsoft.com/en-au/pricing/calculator/" TargetMode="External"/></Relationships>
</file>

<file path=xl/worksheets/_rels/sheet18.xml.rels><?xml version="1.0" encoding="UTF-8" standalone="yes"?>
<Relationships xmlns="http://schemas.openxmlformats.org/package/2006/relationships"><Relationship Id="rId8" Type="http://schemas.openxmlformats.org/officeDocument/2006/relationships/table" Target="../tables/table31.xml"/><Relationship Id="rId13" Type="http://schemas.openxmlformats.org/officeDocument/2006/relationships/table" Target="../tables/table36.xml"/><Relationship Id="rId3" Type="http://schemas.openxmlformats.org/officeDocument/2006/relationships/hyperlink" Target="https://learn.microsoft.com/en-us/azure/active-directory/fundamentals/identity-secure-score" TargetMode="External"/><Relationship Id="rId7" Type="http://schemas.openxmlformats.org/officeDocument/2006/relationships/table" Target="../tables/table30.xml"/><Relationship Id="rId12" Type="http://schemas.openxmlformats.org/officeDocument/2006/relationships/table" Target="../tables/table35.xml"/><Relationship Id="rId2" Type="http://schemas.openxmlformats.org/officeDocument/2006/relationships/hyperlink" Target="https://github.com/Azure/reliability-workbook" TargetMode="External"/><Relationship Id="rId1" Type="http://schemas.openxmlformats.org/officeDocument/2006/relationships/hyperlink" Target="https://learn.microsoft.com/en-us/azure/architecture/web-apps/app-service/architectures/multi-region" TargetMode="External"/><Relationship Id="rId6" Type="http://schemas.openxmlformats.org/officeDocument/2006/relationships/drawing" Target="../drawings/drawing18.xml"/><Relationship Id="rId11" Type="http://schemas.openxmlformats.org/officeDocument/2006/relationships/table" Target="../tables/table34.xml"/><Relationship Id="rId5" Type="http://schemas.openxmlformats.org/officeDocument/2006/relationships/printerSettings" Target="../printerSettings/printerSettings18.bin"/><Relationship Id="rId15" Type="http://schemas.openxmlformats.org/officeDocument/2006/relationships/table" Target="../tables/table38.xml"/><Relationship Id="rId10" Type="http://schemas.openxmlformats.org/officeDocument/2006/relationships/table" Target="../tables/table33.xml"/><Relationship Id="rId4" Type="http://schemas.openxmlformats.org/officeDocument/2006/relationships/hyperlink" Target="https://learn.microsoft.com/en-us/azure/defender-for-cloud/secure-score-access-and-track" TargetMode="External"/><Relationship Id="rId9" Type="http://schemas.openxmlformats.org/officeDocument/2006/relationships/table" Target="../tables/table32.xml"/><Relationship Id="rId14" Type="http://schemas.openxmlformats.org/officeDocument/2006/relationships/table" Target="../tables/table37.xm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19.bin"/><Relationship Id="rId2" Type="http://schemas.openxmlformats.org/officeDocument/2006/relationships/hyperlink" Target="https://learn.microsoft.com/en-us/azure/architecture/web-apps/app-service/architectures/multi-region" TargetMode="External"/><Relationship Id="rId1" Type="http://schemas.openxmlformats.org/officeDocument/2006/relationships/hyperlink" Target="https://learn.microsoft.com/en-us/azure/architecture/data-guide/disaster-recovery/dr-for-azure-data-platform-recommendations" TargetMode="External"/><Relationship Id="rId4"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3" Type="http://schemas.openxmlformats.org/officeDocument/2006/relationships/hyperlink" Target="https://learn.microsoft.com/en-us/azure/virtual-machines/availability-set-overview" TargetMode="External"/><Relationship Id="rId18" Type="http://schemas.openxmlformats.org/officeDocument/2006/relationships/hyperlink" Target="https://learn.microsoft.com/en-us/azure/architecture/guide/technology-choices/load-balancing-overview" TargetMode="External"/><Relationship Id="rId26" Type="http://schemas.openxmlformats.org/officeDocument/2006/relationships/hyperlink" Target="https://learn.microsoft.com/en-us/azure/azure-sql/database/auto-failover-group-sql-db?view=azuresql&amp;tabs=azure-powershell" TargetMode="External"/><Relationship Id="rId3" Type="http://schemas.openxmlformats.org/officeDocument/2006/relationships/hyperlink" Target="https://learn.microsoft.com/en-us/azure/architecture/framework/security/security-tradeoffs" TargetMode="External"/><Relationship Id="rId21" Type="http://schemas.openxmlformats.org/officeDocument/2006/relationships/hyperlink" Target="https://learn.microsoft.com/en-us/azure/dns/dns-import-export" TargetMode="External"/><Relationship Id="rId34" Type="http://schemas.openxmlformats.org/officeDocument/2006/relationships/printerSettings" Target="../printerSettings/printerSettings2.bin"/><Relationship Id="rId7" Type="http://schemas.openxmlformats.org/officeDocument/2006/relationships/hyperlink" Target="https://learn.microsoft.com/en-us/azure/fasttrack/" TargetMode="External"/><Relationship Id="rId12" Type="http://schemas.openxmlformats.org/officeDocument/2006/relationships/hyperlink" Target="https://learn.microsoft.com/en-us/azure/reliability/cross-region-replication-azure" TargetMode="External"/><Relationship Id="rId17" Type="http://schemas.openxmlformats.org/officeDocument/2006/relationships/hyperlink" Target="https://learn.microsoft.com/en-us/compliance/assurance/assurance-resiliency-and-continuity" TargetMode="External"/><Relationship Id="rId25" Type="http://schemas.openxmlformats.org/officeDocument/2006/relationships/hyperlink" Target="https://learn.microsoft.com/en-us/azure/azure-sql/database/automated-backups-overview?view=azuresql" TargetMode="External"/><Relationship Id="rId33" Type="http://schemas.openxmlformats.org/officeDocument/2006/relationships/hyperlink" Target="https://learn.microsoft.com/en-us/azure/governance/policy/samples/built-in-policies" TargetMode="External"/><Relationship Id="rId2" Type="http://schemas.openxmlformats.org/officeDocument/2006/relationships/hyperlink" Target="https://learn.microsoft.com/en-us/azure/architecture/framework/scalability/tradeoffs" TargetMode="External"/><Relationship Id="rId16" Type="http://schemas.openxmlformats.org/officeDocument/2006/relationships/hyperlink" Target="https://learn.microsoft.com/en-us/azure/backup/backup-overview" TargetMode="External"/><Relationship Id="rId20" Type="http://schemas.openxmlformats.org/officeDocument/2006/relationships/hyperlink" Target="https://learn.microsoft.com/en-us/azure/key-vault/general/soft-delete-change" TargetMode="External"/><Relationship Id="rId29" Type="http://schemas.openxmlformats.org/officeDocument/2006/relationships/hyperlink" Target="https://learn.microsoft.com/en-us/azure/storage/blobs/versioning-overview" TargetMode="External"/><Relationship Id="rId1" Type="http://schemas.openxmlformats.org/officeDocument/2006/relationships/hyperlink" Target="https://learn.microsoft.com/en-us/azure/architecture/framework/cost/tradeoffs" TargetMode="External"/><Relationship Id="rId6" Type="http://schemas.openxmlformats.org/officeDocument/2006/relationships/hyperlink" Target="https://azure.microsoft.com/en-us/pricing/offers/azure-fasttrack/" TargetMode="External"/><Relationship Id="rId11" Type="http://schemas.openxmlformats.org/officeDocument/2006/relationships/hyperlink" Target="https://azure.microsoft.com/en-in/explore/global-infrastructure/geographies/" TargetMode="External"/><Relationship Id="rId24" Type="http://schemas.openxmlformats.org/officeDocument/2006/relationships/hyperlink" Target="https://learn.microsoft.com/en-us/azure/service-bus-messaging/service-bus-geo-dr" TargetMode="External"/><Relationship Id="rId32" Type="http://schemas.openxmlformats.org/officeDocument/2006/relationships/hyperlink" Target="https://learn.microsoft.com/en-us/azure/governance/policy/samples/built-in-policies" TargetMode="External"/><Relationship Id="rId5" Type="http://schemas.openxmlformats.org/officeDocument/2006/relationships/hyperlink" Target="https://learn.microsoft.com/en-us/azure/architecture/checklist/resiliency-per-service?bc=%2Fazure%2Fcloud-adoption-framework%2F_bread%2Ftoc.json&amp;toc=%2Fazure%2Fcloud-adoption-framework%2Ftoc.json" TargetMode="External"/><Relationship Id="rId15" Type="http://schemas.openxmlformats.org/officeDocument/2006/relationships/hyperlink" Target="https://learn.microsoft.com/en-us/azure/site-recovery/site-recovery-overview" TargetMode="External"/><Relationship Id="rId23" Type="http://schemas.openxmlformats.org/officeDocument/2006/relationships/hyperlink" Target="https://learn.microsoft.com/en-us/azure/azure-sql/database/active-geo-replication-overview?view=azuresql" TargetMode="External"/><Relationship Id="rId28" Type="http://schemas.openxmlformats.org/officeDocument/2006/relationships/hyperlink" Target="https://learn.microsoft.com/en-us/azure/storage/blobs/soft-delete-blob-overview" TargetMode="External"/><Relationship Id="rId10" Type="http://schemas.openxmlformats.org/officeDocument/2006/relationships/hyperlink" Target="https://learn.microsoft.com/en-us/azure/reliability/availability-zones-overview" TargetMode="External"/><Relationship Id="rId19" Type="http://schemas.openxmlformats.org/officeDocument/2006/relationships/hyperlink" Target="https://learn.microsoft.com/en-us/azure/app-service/manage-backup?tabs=portal" TargetMode="External"/><Relationship Id="rId31" Type="http://schemas.openxmlformats.org/officeDocument/2006/relationships/hyperlink" Target="https://learn.microsoft.com/en-us/azure/defender-for-cloud/update-regulatory-compliance-packages" TargetMode="External"/><Relationship Id="rId4" Type="http://schemas.openxmlformats.org/officeDocument/2006/relationships/hyperlink" Target="https://learn.microsoft.com/en-us/azure/reliability/reliability-guidance-overview" TargetMode="External"/><Relationship Id="rId9" Type="http://schemas.openxmlformats.org/officeDocument/2006/relationships/hyperlink" Target="https://learn.microsoft.com/en-us/azure/reliability/availability-zones-overview" TargetMode="External"/><Relationship Id="rId14" Type="http://schemas.openxmlformats.org/officeDocument/2006/relationships/hyperlink" Target="https://learn.microsoft.com/en-us/azure/architecture/patterns/" TargetMode="External"/><Relationship Id="rId22" Type="http://schemas.openxmlformats.org/officeDocument/2006/relationships/hyperlink" Target="https://learn.microsoft.com/en-us/azure/active-directory/architecture/recover-from-deletions" TargetMode="External"/><Relationship Id="rId27" Type="http://schemas.openxmlformats.org/officeDocument/2006/relationships/hyperlink" Target="https://learn.microsoft.com/en-us/azure/storage/blobs/soft-delete-container-overview" TargetMode="External"/><Relationship Id="rId30" Type="http://schemas.openxmlformats.org/officeDocument/2006/relationships/hyperlink" Target="https://www.microsoft.com/licensing/docs/view/Service-Level-Agreements-SLA-for-Online-Services?lang=1&amp;year=2023" TargetMode="External"/><Relationship Id="rId35" Type="http://schemas.openxmlformats.org/officeDocument/2006/relationships/drawing" Target="../drawings/drawing2.xml"/><Relationship Id="rId8" Type="http://schemas.openxmlformats.org/officeDocument/2006/relationships/hyperlink" Target="https://learn.microsoft.com/en-us/azure/reliability/business-continuity-management-program" TargetMode="External"/></Relationships>
</file>

<file path=xl/worksheets/_rels/sheet20.xml.rels><?xml version="1.0" encoding="UTF-8" standalone="yes"?>
<Relationships xmlns="http://schemas.openxmlformats.org/package/2006/relationships"><Relationship Id="rId13" Type="http://schemas.openxmlformats.org/officeDocument/2006/relationships/hyperlink" Target="https://learn.microsoft.com/en-us/security/benchmark/azure/mcsb-backup-recovery" TargetMode="External"/><Relationship Id="rId18" Type="http://schemas.openxmlformats.org/officeDocument/2006/relationships/hyperlink" Target="https://www.microsoft.com/licensing/docs/view/Service-Level-Agreements-SLA-for-Online-Services?lang=1&amp;year=2023" TargetMode="External"/><Relationship Id="rId26" Type="http://schemas.openxmlformats.org/officeDocument/2006/relationships/hyperlink" Target="https://learn.microsoft.com/en-us/security/benchmark/azure/baselines/functions-security-baseline" TargetMode="External"/><Relationship Id="rId39" Type="http://schemas.openxmlformats.org/officeDocument/2006/relationships/hyperlink" Target="https://learn.microsoft.com/en-us/azure/dns/dns-protect-zones-recordsets" TargetMode="External"/><Relationship Id="rId21" Type="http://schemas.openxmlformats.org/officeDocument/2006/relationships/hyperlink" Target="https://www.microsoft.com/licensing/docs/view/Service-Level-Agreements-SLA-for-Online-Services?lang=1&amp;year=2023" TargetMode="External"/><Relationship Id="rId34" Type="http://schemas.openxmlformats.org/officeDocument/2006/relationships/hyperlink" Target="https://learn.microsoft.com/en-us/security/benchmark/azure/mcsb-backup-recovery" TargetMode="External"/><Relationship Id="rId42" Type="http://schemas.openxmlformats.org/officeDocument/2006/relationships/hyperlink" Target="https://learn.microsoft.com/en-us/azure/chaos-studio/chaos-studio-fault-library" TargetMode="External"/><Relationship Id="rId47" Type="http://schemas.openxmlformats.org/officeDocument/2006/relationships/hyperlink" Target="https://learn.microsoft.com/en-us/azure/azure-functions/functions-geo-disaster-recovery" TargetMode="External"/><Relationship Id="rId50" Type="http://schemas.openxmlformats.org/officeDocument/2006/relationships/hyperlink" Target="https://learn.microsoft.com/en-us/azure/azure-cache-for-redis/cache-high-availability" TargetMode="External"/><Relationship Id="rId55" Type="http://schemas.openxmlformats.org/officeDocument/2006/relationships/hyperlink" Target="https://learn.microsoft.com/en-us/azure/azure-sql/database/active-geo-replication-overview?view=azuresql" TargetMode="External"/><Relationship Id="rId7" Type="http://schemas.openxmlformats.org/officeDocument/2006/relationships/hyperlink" Target="https://learn.microsoft.com/en-us/security/benchmark/azure/mcsb-identity-management" TargetMode="External"/><Relationship Id="rId2" Type="http://schemas.openxmlformats.org/officeDocument/2006/relationships/hyperlink" Target="https://learn.microsoft.com/en-us/azure/reliability/availability-zones-baseline" TargetMode="External"/><Relationship Id="rId16" Type="http://schemas.openxmlformats.org/officeDocument/2006/relationships/hyperlink" Target="https://www.microsoft.com/licensing/docs/view/Service-Level-Agreements-SLA-for-Online-Services?lang=1&amp;year=2023" TargetMode="External"/><Relationship Id="rId29" Type="http://schemas.openxmlformats.org/officeDocument/2006/relationships/hyperlink" Target="https://learn.microsoft.com/en-us/security/benchmark/azure/baselines/azure-cosmos-db-security-baseline" TargetMode="External"/><Relationship Id="rId11" Type="http://schemas.openxmlformats.org/officeDocument/2006/relationships/hyperlink" Target="https://learn.microsoft.com/en-us/security/benchmark/azure/mcsb-logging-threat-detection" TargetMode="External"/><Relationship Id="rId24" Type="http://schemas.openxmlformats.org/officeDocument/2006/relationships/hyperlink" Target="https://learn.microsoft.com/en-us/security/benchmark/azure/baselines/app-service-security-baseline" TargetMode="External"/><Relationship Id="rId32" Type="http://schemas.openxmlformats.org/officeDocument/2006/relationships/hyperlink" Target="https://azure.microsoft.com/en-au/pricing/calculator/" TargetMode="External"/><Relationship Id="rId37" Type="http://schemas.openxmlformats.org/officeDocument/2006/relationships/hyperlink" Target="https://learn.microsoft.com/en-us/security/benchmark/azure/baselines/web-application-firewall-security-baseline" TargetMode="External"/><Relationship Id="rId40" Type="http://schemas.openxmlformats.org/officeDocument/2006/relationships/hyperlink" Target="https://learn.microsoft.com/en-us/azure/dns/dns-import-export" TargetMode="External"/><Relationship Id="rId45" Type="http://schemas.openxmlformats.org/officeDocument/2006/relationships/hyperlink" Target="https://learn.microsoft.com/en-us/azure/app-service/tutorial-multi-region-app" TargetMode="External"/><Relationship Id="rId53" Type="http://schemas.openxmlformats.org/officeDocument/2006/relationships/hyperlink" Target="https://techcommunity.microsoft.com/t5/apps-on-azure-blog/load-testing-databases-with-azure-load-testing/ba-p/3846557" TargetMode="External"/><Relationship Id="rId58" Type="http://schemas.openxmlformats.org/officeDocument/2006/relationships/hyperlink" Target="https://learn.microsoft.com/en-us/azure/chaos-studio/chaos-studio-fault-library" TargetMode="External"/><Relationship Id="rId5" Type="http://schemas.openxmlformats.org/officeDocument/2006/relationships/hyperlink" Target="https://learn.microsoft.com/en-us/azure/well-architected/mission-critical/mission-critical-deployment-testing" TargetMode="External"/><Relationship Id="rId61" Type="http://schemas.openxmlformats.org/officeDocument/2006/relationships/drawing" Target="../drawings/drawing20.xml"/><Relationship Id="rId19" Type="http://schemas.openxmlformats.org/officeDocument/2006/relationships/hyperlink" Target="https://www.microsoft.com/licensing/docs/view/Service-Level-Agreements-SLA-for-Online-Services?lang=1&amp;year=2023" TargetMode="External"/><Relationship Id="rId14" Type="http://schemas.openxmlformats.org/officeDocument/2006/relationships/hyperlink" Target="https://www.microsoft.com/licensing/docs/view/Service-Level-Agreements-SLA-for-Online-Services?lang=1&amp;year=2023" TargetMode="External"/><Relationship Id="rId22" Type="http://schemas.openxmlformats.org/officeDocument/2006/relationships/hyperlink" Target="https://learn.microsoft.com/en-us/security/benchmark/azure/mcsb-identity-management" TargetMode="External"/><Relationship Id="rId27" Type="http://schemas.openxmlformats.org/officeDocument/2006/relationships/hyperlink" Target="https://learn.microsoft.com/en-us/security/benchmark/azure/baselines/azure-cache-for-redis-security-baseline?toc=%2Fazure%2Fazure-cache-for-redis%2FTOC.json" TargetMode="External"/><Relationship Id="rId30" Type="http://schemas.openxmlformats.org/officeDocument/2006/relationships/hyperlink" Target="https://www.microsoft.com/licensing/docs/view/Service-Level-Agreements-SLA-for-Online-Services?lang=1&amp;year=2023" TargetMode="External"/><Relationship Id="rId35" Type="http://schemas.openxmlformats.org/officeDocument/2006/relationships/hyperlink" Target="https://www.microsoft.com/licensing/docs/view/Service-Level-Agreements-SLA-for-Online-Services?lang=1&amp;year=2023" TargetMode="External"/><Relationship Id="rId43" Type="http://schemas.openxmlformats.org/officeDocument/2006/relationships/hyperlink" Target="https://learn.microsoft.com/en-us/azure/load-testing/concept-load-test-app-service" TargetMode="External"/><Relationship Id="rId48" Type="http://schemas.openxmlformats.org/officeDocument/2006/relationships/hyperlink" Target="https://learn.microsoft.com/en-us/azure/chaos-studio/chaos-studio-fault-library" TargetMode="External"/><Relationship Id="rId56" Type="http://schemas.openxmlformats.org/officeDocument/2006/relationships/hyperlink" Target="https://learn.microsoft.com/en-us/azure/cosmos-db/high-availability" TargetMode="External"/><Relationship Id="rId8" Type="http://schemas.openxmlformats.org/officeDocument/2006/relationships/hyperlink" Target="https://learn.microsoft.com/en-us/security/benchmark/azure/mcsb-privileged-access" TargetMode="External"/><Relationship Id="rId51" Type="http://schemas.openxmlformats.org/officeDocument/2006/relationships/hyperlink" Target="https://techcommunity.microsoft.com/t5/azure-developer-community-blog/how-to-utilize-active-geo-replication-in-azure-cache-for-redis/ba-p/3074404" TargetMode="External"/><Relationship Id="rId3" Type="http://schemas.openxmlformats.org/officeDocument/2006/relationships/hyperlink" Target="https://azure.microsoft.com/en-au/pricing/calculator/" TargetMode="External"/><Relationship Id="rId12" Type="http://schemas.openxmlformats.org/officeDocument/2006/relationships/hyperlink" Target="https://learn.microsoft.com/en-us/security/benchmark/azure/mcsb-posture-vulnerability-management" TargetMode="External"/><Relationship Id="rId17" Type="http://schemas.openxmlformats.org/officeDocument/2006/relationships/hyperlink" Target="https://www.microsoft.com/licensing/docs/view/Service-Level-Agreements-SLA-for-Online-Services?lang=1&amp;year=2023" TargetMode="External"/><Relationship Id="rId25" Type="http://schemas.openxmlformats.org/officeDocument/2006/relationships/hyperlink" Target="https://learn.microsoft.com/en-us/security/benchmark/azure/baselines/service-bus-security-baseline" TargetMode="External"/><Relationship Id="rId33" Type="http://schemas.openxmlformats.org/officeDocument/2006/relationships/hyperlink" Target="https://learn.microsoft.com/en-us/azure/reliability/availability-zones-service-support" TargetMode="External"/><Relationship Id="rId38" Type="http://schemas.openxmlformats.org/officeDocument/2006/relationships/hyperlink" Target="https://learn.microsoft.com/en-us/azure/active-directory/fundamentals/recoverability-overview" TargetMode="External"/><Relationship Id="rId46" Type="http://schemas.openxmlformats.org/officeDocument/2006/relationships/hyperlink" Target="https://learn.microsoft.com/en-us/security/benchmark/azure/baselines/service-bus-security-baseline" TargetMode="External"/><Relationship Id="rId59" Type="http://schemas.openxmlformats.org/officeDocument/2006/relationships/hyperlink" Target="https://learn.microsoft.com/en-us/security/benchmark/azure/mcsb-network-security" TargetMode="External"/><Relationship Id="rId20" Type="http://schemas.openxmlformats.org/officeDocument/2006/relationships/hyperlink" Target="https://www.microsoft.com/licensing/docs/view/Service-Level-Agreements-SLA-for-Online-Services?lang=1&amp;year=2023" TargetMode="External"/><Relationship Id="rId41" Type="http://schemas.openxmlformats.org/officeDocument/2006/relationships/hyperlink" Target="https://learn.microsoft.com/en-us/azure/app-service/tutorial-multi-region-app" TargetMode="External"/><Relationship Id="rId54" Type="http://schemas.openxmlformats.org/officeDocument/2006/relationships/hyperlink" Target="https://learn.microsoft.com/en-us/azure/azure-sql/database/automated-backups-overview?view=azuresql" TargetMode="External"/><Relationship Id="rId62" Type="http://schemas.openxmlformats.org/officeDocument/2006/relationships/table" Target="../tables/table39.xml"/><Relationship Id="rId1" Type="http://schemas.openxmlformats.org/officeDocument/2006/relationships/hyperlink" Target="https://learn.microsoft.com/en-us/azure/architecture/web-apps/app-service/architectures/multi-region" TargetMode="External"/><Relationship Id="rId6" Type="http://schemas.openxmlformats.org/officeDocument/2006/relationships/hyperlink" Target="https://learn.microsoft.com/en-us/azure/chaos-studio/chaos-studio-fault-library" TargetMode="External"/><Relationship Id="rId15" Type="http://schemas.openxmlformats.org/officeDocument/2006/relationships/hyperlink" Target="https://www.microsoft.com/licensing/docs/view/Service-Level-Agreements-SLA-for-Online-Services?lang=1&amp;year=2023" TargetMode="External"/><Relationship Id="rId23" Type="http://schemas.openxmlformats.org/officeDocument/2006/relationships/hyperlink" Target="https://learn.microsoft.com/en-us/security/benchmark/azure/baselines/azure-dns-security-baseline" TargetMode="External"/><Relationship Id="rId28" Type="http://schemas.openxmlformats.org/officeDocument/2006/relationships/hyperlink" Target="https://learn.microsoft.com/en-us/security/benchmark/azure/baselines/azure-sql-security-baseline" TargetMode="External"/><Relationship Id="rId36" Type="http://schemas.openxmlformats.org/officeDocument/2006/relationships/hyperlink" Target="https://learn.microsoft.com/en-us/security/benchmark/azure/baselines/azure-front-door-security-baseline" TargetMode="External"/><Relationship Id="rId49" Type="http://schemas.openxmlformats.org/officeDocument/2006/relationships/hyperlink" Target="https://learn.microsoft.com/en-us/azure/chaos-studio/chaos-studio-fault-library" TargetMode="External"/><Relationship Id="rId57" Type="http://schemas.openxmlformats.org/officeDocument/2006/relationships/hyperlink" Target="https://learn.microsoft.com/en-us/azure/cosmos-db/continuous-backup-restore-introduction" TargetMode="External"/><Relationship Id="rId10" Type="http://schemas.openxmlformats.org/officeDocument/2006/relationships/hyperlink" Target="https://learn.microsoft.com/en-us/security/benchmark/azure/mcsb-logging-threat-detection" TargetMode="External"/><Relationship Id="rId31" Type="http://schemas.openxmlformats.org/officeDocument/2006/relationships/hyperlink" Target="https://learn.microsoft.com/en-us/azure/reliability/availability-zones-service-support" TargetMode="External"/><Relationship Id="rId44" Type="http://schemas.openxmlformats.org/officeDocument/2006/relationships/hyperlink" Target="https://learn.microsoft.com/en-us/azure/app-service/deploy-best-practices" TargetMode="External"/><Relationship Id="rId52" Type="http://schemas.openxmlformats.org/officeDocument/2006/relationships/hyperlink" Target="https://learn.microsoft.com/en-us/azure/azure-cache-for-redis/cache-high-availability" TargetMode="External"/><Relationship Id="rId60" Type="http://schemas.openxmlformats.org/officeDocument/2006/relationships/printerSettings" Target="../printerSettings/printerSettings20.bin"/><Relationship Id="rId4" Type="http://schemas.openxmlformats.org/officeDocument/2006/relationships/hyperlink" Target="https://azure.microsoft.com/en-us/resources/azure-defenses-for-ransomware-attack/" TargetMode="External"/><Relationship Id="rId9" Type="http://schemas.openxmlformats.org/officeDocument/2006/relationships/hyperlink" Target="https://learn.microsoft.com/en-us/security/benchmark/azure/mcsb-data-protection" TargetMode="External"/></Relationships>
</file>

<file path=xl/worksheets/_rels/sheet21.xml.rels><?xml version="1.0" encoding="UTF-8" standalone="yes"?>
<Relationships xmlns="http://schemas.openxmlformats.org/package/2006/relationships"><Relationship Id="rId8" Type="http://schemas.openxmlformats.org/officeDocument/2006/relationships/table" Target="../tables/table41.xml"/><Relationship Id="rId13" Type="http://schemas.openxmlformats.org/officeDocument/2006/relationships/table" Target="../tables/table46.xml"/><Relationship Id="rId18" Type="http://schemas.openxmlformats.org/officeDocument/2006/relationships/table" Target="../tables/table51.xml"/><Relationship Id="rId26" Type="http://schemas.openxmlformats.org/officeDocument/2006/relationships/table" Target="../tables/table59.xml"/><Relationship Id="rId3" Type="http://schemas.openxmlformats.org/officeDocument/2006/relationships/hyperlink" Target="https://learn.microsoft.com/en-us/azure/defender-for-cloud/secure-score-access-and-track" TargetMode="External"/><Relationship Id="rId21" Type="http://schemas.openxmlformats.org/officeDocument/2006/relationships/table" Target="../tables/table54.xml"/><Relationship Id="rId7" Type="http://schemas.openxmlformats.org/officeDocument/2006/relationships/table" Target="../tables/table40.xml"/><Relationship Id="rId12" Type="http://schemas.openxmlformats.org/officeDocument/2006/relationships/table" Target="../tables/table45.xml"/><Relationship Id="rId17" Type="http://schemas.openxmlformats.org/officeDocument/2006/relationships/table" Target="../tables/table50.xml"/><Relationship Id="rId25" Type="http://schemas.openxmlformats.org/officeDocument/2006/relationships/table" Target="../tables/table58.xml"/><Relationship Id="rId2" Type="http://schemas.openxmlformats.org/officeDocument/2006/relationships/hyperlink" Target="https://learn.microsoft.com/en-us/azure/active-directory/fundamentals/identity-secure-score" TargetMode="External"/><Relationship Id="rId16" Type="http://schemas.openxmlformats.org/officeDocument/2006/relationships/table" Target="../tables/table49.xml"/><Relationship Id="rId20" Type="http://schemas.openxmlformats.org/officeDocument/2006/relationships/table" Target="../tables/table53.xml"/><Relationship Id="rId29" Type="http://schemas.openxmlformats.org/officeDocument/2006/relationships/table" Target="../tables/table62.xml"/><Relationship Id="rId1" Type="http://schemas.openxmlformats.org/officeDocument/2006/relationships/hyperlink" Target="https://github.com/Azure/reliability-workbook" TargetMode="External"/><Relationship Id="rId6" Type="http://schemas.openxmlformats.org/officeDocument/2006/relationships/drawing" Target="../drawings/drawing21.xml"/><Relationship Id="rId11" Type="http://schemas.openxmlformats.org/officeDocument/2006/relationships/table" Target="../tables/table44.xml"/><Relationship Id="rId24" Type="http://schemas.openxmlformats.org/officeDocument/2006/relationships/table" Target="../tables/table57.xml"/><Relationship Id="rId5" Type="http://schemas.openxmlformats.org/officeDocument/2006/relationships/printerSettings" Target="../printerSettings/printerSettings21.bin"/><Relationship Id="rId15" Type="http://schemas.openxmlformats.org/officeDocument/2006/relationships/table" Target="../tables/table48.xml"/><Relationship Id="rId23" Type="http://schemas.openxmlformats.org/officeDocument/2006/relationships/table" Target="../tables/table56.xml"/><Relationship Id="rId28" Type="http://schemas.openxmlformats.org/officeDocument/2006/relationships/table" Target="../tables/table61.xml"/><Relationship Id="rId10" Type="http://schemas.openxmlformats.org/officeDocument/2006/relationships/table" Target="../tables/table43.xml"/><Relationship Id="rId19" Type="http://schemas.openxmlformats.org/officeDocument/2006/relationships/table" Target="../tables/table52.xml"/><Relationship Id="rId4" Type="http://schemas.openxmlformats.org/officeDocument/2006/relationships/hyperlink" Target="https://learn.microsoft.com/en-us/azure/architecture/web-apps/app-service/architectures/multi-region" TargetMode="External"/><Relationship Id="rId9" Type="http://schemas.openxmlformats.org/officeDocument/2006/relationships/table" Target="../tables/table42.xml"/><Relationship Id="rId14" Type="http://schemas.openxmlformats.org/officeDocument/2006/relationships/table" Target="../tables/table47.xml"/><Relationship Id="rId22" Type="http://schemas.openxmlformats.org/officeDocument/2006/relationships/table" Target="../tables/table55.xml"/><Relationship Id="rId27" Type="http://schemas.openxmlformats.org/officeDocument/2006/relationships/table" Target="../tables/table60.xml"/><Relationship Id="rId30" Type="http://schemas.openxmlformats.org/officeDocument/2006/relationships/table" Target="../tables/table63.xml"/></Relationships>
</file>

<file path=xl/worksheets/_rels/sheet22.xml.rels><?xml version="1.0" encoding="UTF-8" standalone="yes"?>
<Relationships xmlns="http://schemas.openxmlformats.org/package/2006/relationships"><Relationship Id="rId8" Type="http://schemas.openxmlformats.org/officeDocument/2006/relationships/table" Target="../tables/table67.xml"/><Relationship Id="rId13" Type="http://schemas.openxmlformats.org/officeDocument/2006/relationships/table" Target="../tables/table72.xml"/><Relationship Id="rId18" Type="http://schemas.openxmlformats.org/officeDocument/2006/relationships/table" Target="../tables/table77.xml"/><Relationship Id="rId26" Type="http://schemas.openxmlformats.org/officeDocument/2006/relationships/table" Target="../tables/table85.xml"/><Relationship Id="rId3" Type="http://schemas.openxmlformats.org/officeDocument/2006/relationships/printerSettings" Target="../printerSettings/printerSettings22.bin"/><Relationship Id="rId21" Type="http://schemas.openxmlformats.org/officeDocument/2006/relationships/table" Target="../tables/table80.xml"/><Relationship Id="rId7" Type="http://schemas.openxmlformats.org/officeDocument/2006/relationships/table" Target="../tables/table66.xml"/><Relationship Id="rId12" Type="http://schemas.openxmlformats.org/officeDocument/2006/relationships/table" Target="../tables/table71.xml"/><Relationship Id="rId17" Type="http://schemas.openxmlformats.org/officeDocument/2006/relationships/table" Target="../tables/table76.xml"/><Relationship Id="rId25" Type="http://schemas.openxmlformats.org/officeDocument/2006/relationships/table" Target="../tables/table84.xml"/><Relationship Id="rId2" Type="http://schemas.openxmlformats.org/officeDocument/2006/relationships/hyperlink" Target="https://azure.microsoft.com/en-au/pricing/calculator/" TargetMode="External"/><Relationship Id="rId16" Type="http://schemas.openxmlformats.org/officeDocument/2006/relationships/table" Target="../tables/table75.xml"/><Relationship Id="rId20" Type="http://schemas.openxmlformats.org/officeDocument/2006/relationships/table" Target="../tables/table79.xml"/><Relationship Id="rId1" Type="http://schemas.openxmlformats.org/officeDocument/2006/relationships/hyperlink" Target="https://learn.microsoft.com/en-us/azure/architecture/web-apps/app-service/architectures/multi-region" TargetMode="External"/><Relationship Id="rId6" Type="http://schemas.openxmlformats.org/officeDocument/2006/relationships/table" Target="../tables/table65.xml"/><Relationship Id="rId11" Type="http://schemas.openxmlformats.org/officeDocument/2006/relationships/table" Target="../tables/table70.xml"/><Relationship Id="rId24" Type="http://schemas.openxmlformats.org/officeDocument/2006/relationships/table" Target="../tables/table83.xml"/><Relationship Id="rId5" Type="http://schemas.openxmlformats.org/officeDocument/2006/relationships/table" Target="../tables/table64.xml"/><Relationship Id="rId15" Type="http://schemas.openxmlformats.org/officeDocument/2006/relationships/table" Target="../tables/table74.xml"/><Relationship Id="rId23" Type="http://schemas.openxmlformats.org/officeDocument/2006/relationships/table" Target="../tables/table82.xml"/><Relationship Id="rId28" Type="http://schemas.openxmlformats.org/officeDocument/2006/relationships/table" Target="../tables/table87.xml"/><Relationship Id="rId10" Type="http://schemas.openxmlformats.org/officeDocument/2006/relationships/table" Target="../tables/table69.xml"/><Relationship Id="rId19" Type="http://schemas.openxmlformats.org/officeDocument/2006/relationships/table" Target="../tables/table78.xml"/><Relationship Id="rId4" Type="http://schemas.openxmlformats.org/officeDocument/2006/relationships/drawing" Target="../drawings/drawing22.xml"/><Relationship Id="rId9" Type="http://schemas.openxmlformats.org/officeDocument/2006/relationships/table" Target="../tables/table68.xml"/><Relationship Id="rId14" Type="http://schemas.openxmlformats.org/officeDocument/2006/relationships/table" Target="../tables/table73.xml"/><Relationship Id="rId22" Type="http://schemas.openxmlformats.org/officeDocument/2006/relationships/table" Target="../tables/table81.xml"/><Relationship Id="rId27" Type="http://schemas.openxmlformats.org/officeDocument/2006/relationships/table" Target="../tables/table86.xml"/></Relationships>
</file>

<file path=xl/worksheets/_rels/sheet23.xml.rels><?xml version="1.0" encoding="UTF-8" standalone="yes"?>
<Relationships xmlns="http://schemas.openxmlformats.org/package/2006/relationships"><Relationship Id="rId3" Type="http://schemas.openxmlformats.org/officeDocument/2006/relationships/hyperlink" Target="https://learn.microsoft.com/en-us/azure/architecture/web-apps/app-service/architectures/multi-region" TargetMode="External"/><Relationship Id="rId2" Type="http://schemas.openxmlformats.org/officeDocument/2006/relationships/hyperlink" Target="https://github.com/Azure/reliability-workbook" TargetMode="External"/><Relationship Id="rId1" Type="http://schemas.openxmlformats.org/officeDocument/2006/relationships/hyperlink" Target="https://support.microsoft.com/en-us/office/create-a-fault-tree-analysis-diagram-11d9daff-46ea-47f8-82de-e0b5e37ade20" TargetMode="External"/><Relationship Id="rId5" Type="http://schemas.openxmlformats.org/officeDocument/2006/relationships/drawing" Target="../drawings/drawing23.xml"/><Relationship Id="rId4"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3" Type="http://schemas.openxmlformats.org/officeDocument/2006/relationships/drawing" Target="../drawings/drawing24.xml"/><Relationship Id="rId2" Type="http://schemas.openxmlformats.org/officeDocument/2006/relationships/printerSettings" Target="../printerSettings/printerSettings24.bin"/><Relationship Id="rId1" Type="http://schemas.openxmlformats.org/officeDocument/2006/relationships/hyperlink" Target="https://learn.microsoft.com/en-us/azure/architecture/web-apps/app-service/architectures/multi-region" TargetMode="External"/></Relationships>
</file>

<file path=xl/worksheets/_rels/sheet25.xml.rels><?xml version="1.0" encoding="UTF-8" standalone="yes"?>
<Relationships xmlns="http://schemas.openxmlformats.org/package/2006/relationships"><Relationship Id="rId8" Type="http://schemas.openxmlformats.org/officeDocument/2006/relationships/printerSettings" Target="../printerSettings/printerSettings25.bin"/><Relationship Id="rId3" Type="http://schemas.openxmlformats.org/officeDocument/2006/relationships/hyperlink" Target="mailto:ritatsakiris@contoso.com" TargetMode="External"/><Relationship Id="rId7" Type="http://schemas.openxmlformats.org/officeDocument/2006/relationships/hyperlink" Target="https://learn.microsoft.com/en-us/azure/cloud-adoption-framework/organize/raci-alignment" TargetMode="External"/><Relationship Id="rId2" Type="http://schemas.openxmlformats.org/officeDocument/2006/relationships/hyperlink" Target="mailto:ebereibeabuchi@contoso.com" TargetMode="External"/><Relationship Id="rId1" Type="http://schemas.openxmlformats.org/officeDocument/2006/relationships/hyperlink" Target="mailto:michalrosenstein@contoso.com" TargetMode="External"/><Relationship Id="rId6" Type="http://schemas.openxmlformats.org/officeDocument/2006/relationships/hyperlink" Target="https://learn.microsoft.com/en-us/azure/architecture/web-apps/app-service/architectures/multi-region" TargetMode="External"/><Relationship Id="rId11" Type="http://schemas.microsoft.com/office/2007/relationships/slicer" Target="../slicers/slicer3.xml"/><Relationship Id="rId5" Type="http://schemas.openxmlformats.org/officeDocument/2006/relationships/hyperlink" Target="mailto:felixhenderson@contoso.com" TargetMode="External"/><Relationship Id="rId10" Type="http://schemas.openxmlformats.org/officeDocument/2006/relationships/table" Target="../tables/table88.xml"/><Relationship Id="rId4" Type="http://schemas.openxmlformats.org/officeDocument/2006/relationships/hyperlink" Target="mailto:alexandravoronova@contoso.com" TargetMode="External"/><Relationship Id="rId9"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8" Type="http://schemas.openxmlformats.org/officeDocument/2006/relationships/hyperlink" Target="https://learn.microsoft.com/en-us/azure/well-architected/resiliency/reliability-patterns" TargetMode="External"/><Relationship Id="rId13" Type="http://schemas.openxmlformats.org/officeDocument/2006/relationships/hyperlink" Target="https://learn.microsoft.com/en-us/azure/security/fundamentals/pen-testing" TargetMode="External"/><Relationship Id="rId18" Type="http://schemas.openxmlformats.org/officeDocument/2006/relationships/printerSettings" Target="../printerSettings/printerSettings26.bin"/><Relationship Id="rId3" Type="http://schemas.openxmlformats.org/officeDocument/2006/relationships/hyperlink" Target="https://learn.microsoft.com/en-us/azure/well-architected/resiliency/testing" TargetMode="External"/><Relationship Id="rId7" Type="http://schemas.openxmlformats.org/officeDocument/2006/relationships/hyperlink" Target="https://learn.microsoft.com/en-us/azure/well-architected/resiliency/monitor-checklist" TargetMode="External"/><Relationship Id="rId12" Type="http://schemas.openxmlformats.org/officeDocument/2006/relationships/hyperlink" Target="https://www.redwolfsecurity.com/services/" TargetMode="External"/><Relationship Id="rId17" Type="http://schemas.openxmlformats.org/officeDocument/2006/relationships/hyperlink" Target="https://learn.microsoft.com/en-us/azure/architecture/web-apps/app-service/architectures/multi-region" TargetMode="External"/><Relationship Id="rId2" Type="http://schemas.openxmlformats.org/officeDocument/2006/relationships/hyperlink" Target="https://learn.microsoft.com/en-us/azure/well-architected/resiliency/test-checklist?source=recommendations" TargetMode="External"/><Relationship Id="rId16" Type="http://schemas.openxmlformats.org/officeDocument/2006/relationships/hyperlink" Target="https://learn.microsoft.com/en-us/azure/security/fundamentals/pen-testing" TargetMode="External"/><Relationship Id="rId20" Type="http://schemas.openxmlformats.org/officeDocument/2006/relationships/table" Target="../tables/table89.xml"/><Relationship Id="rId1" Type="http://schemas.openxmlformats.org/officeDocument/2006/relationships/hyperlink" Target="https://learn.microsoft.com/en-us/azure/well-architected/mission-critical/mission-critical-deployment-testing" TargetMode="External"/><Relationship Id="rId6" Type="http://schemas.openxmlformats.org/officeDocument/2006/relationships/hyperlink" Target="https://learn.microsoft.com/en-us/azure/well-architected/resiliency/test-best-practices" TargetMode="External"/><Relationship Id="rId11" Type="http://schemas.openxmlformats.org/officeDocument/2006/relationships/hyperlink" Target="https://www.red-button.net/" TargetMode="External"/><Relationship Id="rId5" Type="http://schemas.openxmlformats.org/officeDocument/2006/relationships/hyperlink" Target="https://learn.microsoft.com/en-us/azure/well-architected/resiliency/chaos-engineering" TargetMode="External"/><Relationship Id="rId15" Type="http://schemas.openxmlformats.org/officeDocument/2006/relationships/hyperlink" Target="https://learn.microsoft.com/en-us/azure/security/fundamentals/pen-testing" TargetMode="External"/><Relationship Id="rId10" Type="http://schemas.openxmlformats.org/officeDocument/2006/relationships/hyperlink" Target="https://www.ixiacom.com/products/breakingpoint-cloud" TargetMode="External"/><Relationship Id="rId19" Type="http://schemas.openxmlformats.org/officeDocument/2006/relationships/drawing" Target="../drawings/drawing26.xml"/><Relationship Id="rId4" Type="http://schemas.openxmlformats.org/officeDocument/2006/relationships/hyperlink" Target="https://learn.microsoft.com/en-us/azure/well-architected/resiliency/backup-and-recovery" TargetMode="External"/><Relationship Id="rId9" Type="http://schemas.openxmlformats.org/officeDocument/2006/relationships/hyperlink" Target="https://learn.microsoft.com/en-US/azure/chaos-studio/chaos-studio-overview" TargetMode="External"/><Relationship Id="rId14" Type="http://schemas.openxmlformats.org/officeDocument/2006/relationships/hyperlink" Target="https://learn.microsoft.com/en-us/azure/security/fundamentals/pen-testing" TargetMode="External"/></Relationships>
</file>

<file path=xl/worksheets/_rels/sheet27.xml.rels><?xml version="1.0" encoding="UTF-8" standalone="yes"?>
<Relationships xmlns="http://schemas.openxmlformats.org/package/2006/relationships"><Relationship Id="rId3" Type="http://schemas.openxmlformats.org/officeDocument/2006/relationships/drawing" Target="../drawings/drawing27.xml"/><Relationship Id="rId2" Type="http://schemas.openxmlformats.org/officeDocument/2006/relationships/printerSettings" Target="../printerSettings/printerSettings27.bin"/><Relationship Id="rId1" Type="http://schemas.openxmlformats.org/officeDocument/2006/relationships/hyperlink" Target="https://learn.microsoft.com/en-us/azure/architecture/web-apps/app-service/architectures/multi-region" TargetMode="External"/><Relationship Id="rId4" Type="http://schemas.openxmlformats.org/officeDocument/2006/relationships/table" Target="../tables/table90.xml"/></Relationships>
</file>

<file path=xl/worksheets/_rels/sheet28.xml.rels><?xml version="1.0" encoding="UTF-8" standalone="yes"?>
<Relationships xmlns="http://schemas.openxmlformats.org/package/2006/relationships"><Relationship Id="rId3" Type="http://schemas.openxmlformats.org/officeDocument/2006/relationships/drawing" Target="../drawings/drawing28.xml"/><Relationship Id="rId2" Type="http://schemas.openxmlformats.org/officeDocument/2006/relationships/printerSettings" Target="../printerSettings/printerSettings28.bin"/><Relationship Id="rId1" Type="http://schemas.openxmlformats.org/officeDocument/2006/relationships/hyperlink" Target="https://learn.microsoft.com/en-us/azure/architecture/web-apps/app-service/architectures/multi-region" TargetMode="External"/><Relationship Id="rId4" Type="http://schemas.openxmlformats.org/officeDocument/2006/relationships/table" Target="../tables/table91.xml"/></Relationships>
</file>

<file path=xl/worksheets/_rels/sheet29.xml.rels><?xml version="1.0" encoding="UTF-8" standalone="yes"?>
<Relationships xmlns="http://schemas.openxmlformats.org/package/2006/relationships"><Relationship Id="rId3" Type="http://schemas.openxmlformats.org/officeDocument/2006/relationships/drawing" Target="../drawings/drawing29.xml"/><Relationship Id="rId2" Type="http://schemas.openxmlformats.org/officeDocument/2006/relationships/printerSettings" Target="../printerSettings/printerSettings29.bin"/><Relationship Id="rId1" Type="http://schemas.openxmlformats.org/officeDocument/2006/relationships/hyperlink" Target="https://learn.microsoft.com/en-us/azure/architecture/web-apps/app-service/architectures/multi-region"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learn.microsoft.com/en-us/azure/reliability/availability-zones-overview" TargetMode="External"/><Relationship Id="rId13" Type="http://schemas.openxmlformats.org/officeDocument/2006/relationships/table" Target="../tables/table2.xml"/><Relationship Id="rId3" Type="http://schemas.openxmlformats.org/officeDocument/2006/relationships/hyperlink" Target="https://www.microsoft.com/en-us/hpsi/cyber_insurance_webinars" TargetMode="External"/><Relationship Id="rId7" Type="http://schemas.openxmlformats.org/officeDocument/2006/relationships/hyperlink" Target="https://learn.microsoft.com/en-us/azure/reliability/availability-zones-overview" TargetMode="External"/><Relationship Id="rId12" Type="http://schemas.openxmlformats.org/officeDocument/2006/relationships/drawing" Target="../drawings/drawing3.xml"/><Relationship Id="rId2" Type="http://schemas.openxmlformats.org/officeDocument/2006/relationships/hyperlink" Target="https://learn.microsoft.com/en-us/azure/architecture/framework/resiliency/business-metrics" TargetMode="External"/><Relationship Id="rId1" Type="http://schemas.openxmlformats.org/officeDocument/2006/relationships/hyperlink" Target="https://learn.microsoft.com/en-us/azure/reliability/availability-zones-service-support" TargetMode="External"/><Relationship Id="rId6" Type="http://schemas.openxmlformats.org/officeDocument/2006/relationships/hyperlink" Target="https://learn.microsoft.com/en-us/security/benchmark/azure/overview" TargetMode="External"/><Relationship Id="rId11" Type="http://schemas.openxmlformats.org/officeDocument/2006/relationships/printerSettings" Target="../printerSettings/printerSettings3.bin"/><Relationship Id="rId5" Type="http://schemas.openxmlformats.org/officeDocument/2006/relationships/hyperlink" Target="https://www.microsoft.com/en-us/security/business/security-101/what-is-siem" TargetMode="External"/><Relationship Id="rId10" Type="http://schemas.openxmlformats.org/officeDocument/2006/relationships/hyperlink" Target="https://learn.microsoft.com/en-us/azure/virtual-machines/availability-set-overview" TargetMode="External"/><Relationship Id="rId4" Type="http://schemas.openxmlformats.org/officeDocument/2006/relationships/hyperlink" Target="https://learn.microsoft.com/en-us/azure/reliability/cross-region-replication-azure" TargetMode="External"/><Relationship Id="rId9" Type="http://schemas.openxmlformats.org/officeDocument/2006/relationships/hyperlink" Target="https://azure.microsoft.com/en-in/explore/global-infrastructure/geographies/" TargetMode="External"/></Relationships>
</file>

<file path=xl/worksheets/_rels/sheet30.xml.rels><?xml version="1.0" encoding="UTF-8" standalone="yes"?>
<Relationships xmlns="http://schemas.openxmlformats.org/package/2006/relationships"><Relationship Id="rId3" Type="http://schemas.openxmlformats.org/officeDocument/2006/relationships/drawing" Target="../drawings/drawing30.xml"/><Relationship Id="rId2" Type="http://schemas.openxmlformats.org/officeDocument/2006/relationships/printerSettings" Target="../printerSettings/printerSettings30.bin"/><Relationship Id="rId1" Type="http://schemas.openxmlformats.org/officeDocument/2006/relationships/hyperlink" Target="https://learn.microsoft.com/en-us/azure/architecture/web-apps/app-service/architectures/multi-region" TargetMode="External"/><Relationship Id="rId4" Type="http://schemas.openxmlformats.org/officeDocument/2006/relationships/table" Target="../tables/table92.xml"/></Relationships>
</file>

<file path=xl/worksheets/_rels/sheet31.xml.rels><?xml version="1.0" encoding="UTF-8" standalone="yes"?>
<Relationships xmlns="http://schemas.openxmlformats.org/package/2006/relationships"><Relationship Id="rId3" Type="http://schemas.openxmlformats.org/officeDocument/2006/relationships/printerSettings" Target="../printerSettings/printerSettings31.bin"/><Relationship Id="rId2" Type="http://schemas.openxmlformats.org/officeDocument/2006/relationships/hyperlink" Target="https://www.iso.org/obp/ui/" TargetMode="External"/><Relationship Id="rId1" Type="http://schemas.openxmlformats.org/officeDocument/2006/relationships/hyperlink" Target="https://learn.microsoft.com/en-us/assessments/azure-architecture-review/" TargetMode="External"/><Relationship Id="rId6" Type="http://schemas.microsoft.com/office/2007/relationships/slicer" Target="../slicers/slicer4.xml"/><Relationship Id="rId5" Type="http://schemas.openxmlformats.org/officeDocument/2006/relationships/table" Target="../tables/table93.xml"/><Relationship Id="rId4"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3" Type="http://schemas.openxmlformats.org/officeDocument/2006/relationships/printerSettings" Target="../printerSettings/printerSettings32.bin"/><Relationship Id="rId2" Type="http://schemas.openxmlformats.org/officeDocument/2006/relationships/hyperlink" Target="https://www.preventionweb.net/publication/tools-mainstreaming-disaster-risk-reduction-guidance-notes-development-organisations" TargetMode="External"/><Relationship Id="rId1" Type="http://schemas.openxmlformats.org/officeDocument/2006/relationships/hyperlink" Target="https://www.preventionweb.net/understanding-disaster-risk/component-risk/disaster-risk" TargetMode="External"/><Relationship Id="rId5" Type="http://schemas.openxmlformats.org/officeDocument/2006/relationships/table" Target="../tables/table94.xml"/><Relationship Id="rId4"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3" Type="http://schemas.openxmlformats.org/officeDocument/2006/relationships/table" Target="../tables/table95.xml"/><Relationship Id="rId2" Type="http://schemas.openxmlformats.org/officeDocument/2006/relationships/drawing" Target="../drawings/drawing33.xml"/><Relationship Id="rId1" Type="http://schemas.openxmlformats.org/officeDocument/2006/relationships/printerSettings" Target="../printerSettings/printerSettings33.bin"/><Relationship Id="rId4" Type="http://schemas.openxmlformats.org/officeDocument/2006/relationships/table" Target="../tables/table96.xml"/></Relationships>
</file>

<file path=xl/worksheets/_rels/sheet34.xml.rels><?xml version="1.0" encoding="UTF-8" standalone="yes"?>
<Relationships xmlns="http://schemas.openxmlformats.org/package/2006/relationships"><Relationship Id="rId8" Type="http://schemas.openxmlformats.org/officeDocument/2006/relationships/table" Target="../tables/table101.xml"/><Relationship Id="rId13" Type="http://schemas.openxmlformats.org/officeDocument/2006/relationships/table" Target="../tables/table106.xml"/><Relationship Id="rId3" Type="http://schemas.openxmlformats.org/officeDocument/2006/relationships/drawing" Target="../drawings/drawing34.xml"/><Relationship Id="rId7" Type="http://schemas.openxmlformats.org/officeDocument/2006/relationships/table" Target="../tables/table100.xml"/><Relationship Id="rId12" Type="http://schemas.openxmlformats.org/officeDocument/2006/relationships/table" Target="../tables/table105.xml"/><Relationship Id="rId2" Type="http://schemas.openxmlformats.org/officeDocument/2006/relationships/printerSettings" Target="../printerSettings/printerSettings34.bin"/><Relationship Id="rId1" Type="http://schemas.openxmlformats.org/officeDocument/2006/relationships/hyperlink" Target="https://learn.microsoft.com/en-us/azure/service-health/overview" TargetMode="External"/><Relationship Id="rId6" Type="http://schemas.openxmlformats.org/officeDocument/2006/relationships/table" Target="../tables/table99.xml"/><Relationship Id="rId11" Type="http://schemas.openxmlformats.org/officeDocument/2006/relationships/table" Target="../tables/table104.xml"/><Relationship Id="rId5" Type="http://schemas.openxmlformats.org/officeDocument/2006/relationships/table" Target="../tables/table98.xml"/><Relationship Id="rId15" Type="http://schemas.openxmlformats.org/officeDocument/2006/relationships/table" Target="../tables/table108.xml"/><Relationship Id="rId10" Type="http://schemas.openxmlformats.org/officeDocument/2006/relationships/table" Target="../tables/table103.xml"/><Relationship Id="rId4" Type="http://schemas.openxmlformats.org/officeDocument/2006/relationships/table" Target="../tables/table97.xml"/><Relationship Id="rId9" Type="http://schemas.openxmlformats.org/officeDocument/2006/relationships/table" Target="../tables/table102.xml"/><Relationship Id="rId14" Type="http://schemas.openxmlformats.org/officeDocument/2006/relationships/table" Target="../tables/table107.xml"/></Relationships>
</file>

<file path=xl/worksheets/_rels/sheet35.xml.rels><?xml version="1.0" encoding="UTF-8" standalone="yes"?>
<Relationships xmlns="http://schemas.openxmlformats.org/package/2006/relationships"><Relationship Id="rId3" Type="http://schemas.openxmlformats.org/officeDocument/2006/relationships/drawing" Target="../drawings/drawing35.xml"/><Relationship Id="rId2" Type="http://schemas.openxmlformats.org/officeDocument/2006/relationships/printerSettings" Target="../printerSettings/printerSettings35.bin"/><Relationship Id="rId1" Type="http://schemas.openxmlformats.org/officeDocument/2006/relationships/hyperlink" Target="https://learn.microsoft.com/en-us/compliance/assurance/assurance-developing-your-ebcm-plan" TargetMode="External"/><Relationship Id="rId4" Type="http://schemas.openxmlformats.org/officeDocument/2006/relationships/table" Target="../tables/table109.xml"/></Relationships>
</file>

<file path=xl/worksheets/_rels/sheet36.xml.rels><?xml version="1.0" encoding="UTF-8" standalone="yes"?>
<Relationships xmlns="http://schemas.openxmlformats.org/package/2006/relationships"><Relationship Id="rId8" Type="http://schemas.openxmlformats.org/officeDocument/2006/relationships/hyperlink" Target="https://github.com/Azure/Enterprise-Scale/tree/main/docs/reference/adventureworks" TargetMode="External"/><Relationship Id="rId13" Type="http://schemas.openxmlformats.org/officeDocument/2006/relationships/hyperlink" Target="https://www.microsoft.com/en-us/hpsi/cyber_insurance_webinars" TargetMode="External"/><Relationship Id="rId3" Type="http://schemas.openxmlformats.org/officeDocument/2006/relationships/hyperlink" Target="https://learn.microsoft.com/en-us/azure/architecture/reference-architectures/app-service-web-app/zone-redundant" TargetMode="External"/><Relationship Id="rId7" Type="http://schemas.openxmlformats.org/officeDocument/2006/relationships/hyperlink" Target="https://github.com/Azure/Enterprise-Scale/tree/main/docs/reference/adventureworks" TargetMode="External"/><Relationship Id="rId12" Type="http://schemas.openxmlformats.org/officeDocument/2006/relationships/hyperlink" Target="https://github.com/Azure/Enterprise-Scale/tree/main/docs/reference/adventureworks" TargetMode="External"/><Relationship Id="rId2" Type="http://schemas.openxmlformats.org/officeDocument/2006/relationships/hyperlink" Target="https://learn.microsoft.com/en-us/azure/architecture/reference-architectures/app-service-web-app/multi-region" TargetMode="External"/><Relationship Id="rId16" Type="http://schemas.openxmlformats.org/officeDocument/2006/relationships/drawing" Target="../drawings/drawing36.xml"/><Relationship Id="rId1" Type="http://schemas.openxmlformats.org/officeDocument/2006/relationships/hyperlink" Target="https://learn.microsoft.com/en-us/azure/architecture/reference-architectures/app-service-web-app/multi-region" TargetMode="External"/><Relationship Id="rId6" Type="http://schemas.openxmlformats.org/officeDocument/2006/relationships/hyperlink" Target="https://github.com/Azure/Enterprise-Scale/tree/main/docs/reference/adventureworks" TargetMode="External"/><Relationship Id="rId11" Type="http://schemas.openxmlformats.org/officeDocument/2006/relationships/hyperlink" Target="https://github.com/Azure/Enterprise-Scale/tree/main/docs/reference/adventureworks" TargetMode="External"/><Relationship Id="rId5" Type="http://schemas.openxmlformats.org/officeDocument/2006/relationships/hyperlink" Target="https://learn.microsoft.com/en-us/azure/architecture/reference-architectures/app-service-web-app/zone-redundant" TargetMode="External"/><Relationship Id="rId15" Type="http://schemas.openxmlformats.org/officeDocument/2006/relationships/printerSettings" Target="../printerSettings/printerSettings36.bin"/><Relationship Id="rId10" Type="http://schemas.openxmlformats.org/officeDocument/2006/relationships/hyperlink" Target="https://github.com/Azure/Enterprise-Scale/tree/main/docs/reference/adventureworks" TargetMode="External"/><Relationship Id="rId4" Type="http://schemas.openxmlformats.org/officeDocument/2006/relationships/hyperlink" Target="https://learn.microsoft.com/en-us/azure/architecture/reference-architectures/app-service-web-app/scalable-web-app" TargetMode="External"/><Relationship Id="rId9" Type="http://schemas.openxmlformats.org/officeDocument/2006/relationships/hyperlink" Target="https://github.com/Azure/Enterprise-Scale/tree/main/docs/reference/adventureworks" TargetMode="External"/><Relationship Id="rId14" Type="http://schemas.openxmlformats.org/officeDocument/2006/relationships/hyperlink" Target="https://learn.microsoft.com/en-us/azure/reliability/business-continuity-management-program" TargetMode="External"/></Relationships>
</file>

<file path=xl/worksheets/_rels/sheet37.xml.rels><?xml version="1.0" encoding="UTF-8" standalone="yes"?>
<Relationships xmlns="http://schemas.openxmlformats.org/package/2006/relationships"><Relationship Id="rId3" Type="http://schemas.openxmlformats.org/officeDocument/2006/relationships/table" Target="../tables/table110.xml"/><Relationship Id="rId2" Type="http://schemas.openxmlformats.org/officeDocument/2006/relationships/drawing" Target="../drawings/drawing37.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26" Type="http://schemas.openxmlformats.org/officeDocument/2006/relationships/hyperlink" Target="https://learn.microsoft.com/en-us/azure/storage/blobs/soft-delete-container-overview" TargetMode="External"/><Relationship Id="rId21" Type="http://schemas.openxmlformats.org/officeDocument/2006/relationships/hyperlink" Target="https://learn.microsoft.com/en-us/azure/active-directory/architecture/recover-from-deletions" TargetMode="External"/><Relationship Id="rId42" Type="http://schemas.openxmlformats.org/officeDocument/2006/relationships/hyperlink" Target="https://learn.microsoft.com/en-us/azure/well-architected/resiliency/testing" TargetMode="External"/><Relationship Id="rId47" Type="http://schemas.openxmlformats.org/officeDocument/2006/relationships/hyperlink" Target="https://learn.microsoft.com/en-us/azure/well-architected/resiliency/reliability-patterns" TargetMode="External"/><Relationship Id="rId63" Type="http://schemas.openxmlformats.org/officeDocument/2006/relationships/hyperlink" Target="https://www.preventionweb.net/understanding-disaster-risk/component-risk/disaster-risk" TargetMode="External"/><Relationship Id="rId68" Type="http://schemas.openxmlformats.org/officeDocument/2006/relationships/drawing" Target="../drawings/drawing38.xml"/><Relationship Id="rId7" Type="http://schemas.openxmlformats.org/officeDocument/2006/relationships/hyperlink" Target="https://learn.microsoft.com/en-us/azure/architecture/patterns/" TargetMode="External"/><Relationship Id="rId2" Type="http://schemas.openxmlformats.org/officeDocument/2006/relationships/hyperlink" Target="https://learn.microsoft.com/en-us/azure/reliability/availability-zones-overview" TargetMode="External"/><Relationship Id="rId16" Type="http://schemas.openxmlformats.org/officeDocument/2006/relationships/hyperlink" Target="https://learn.microsoft.com/en-us/azure/architecture/framework/scalability/tradeoffs" TargetMode="External"/><Relationship Id="rId29" Type="http://schemas.openxmlformats.org/officeDocument/2006/relationships/hyperlink" Target="https://learn.microsoft.com/en-us/azure/cloud-adoption-framework/manage/considerations/criticality" TargetMode="External"/><Relationship Id="rId11" Type="http://schemas.openxmlformats.org/officeDocument/2006/relationships/hyperlink" Target="https://learn.microsoft.com/en-us/compliance/assurance/assurance-resiliency-and-continuity" TargetMode="External"/><Relationship Id="rId24" Type="http://schemas.openxmlformats.org/officeDocument/2006/relationships/hyperlink" Target="https://learn.microsoft.com/en-us/azure/azure-sql/database/automated-backups-overview?view=azuresql" TargetMode="External"/><Relationship Id="rId32" Type="http://schemas.openxmlformats.org/officeDocument/2006/relationships/hyperlink" Target="https://azure.microsoft.com/en-us/resources/resilience-in-azure-whitepaper/" TargetMode="External"/><Relationship Id="rId37" Type="http://schemas.openxmlformats.org/officeDocument/2006/relationships/hyperlink" Target="https://learn.microsoft.com/en-us/azure/cloud-adoption-framework/organize/raci-alignment" TargetMode="External"/><Relationship Id="rId40" Type="http://schemas.openxmlformats.org/officeDocument/2006/relationships/hyperlink" Target="https://learn.microsoft.com/en-us/azure/well-architected/mission-critical/mission-critical-deployment-testing" TargetMode="External"/><Relationship Id="rId45" Type="http://schemas.openxmlformats.org/officeDocument/2006/relationships/hyperlink" Target="https://learn.microsoft.com/en-us/azure/well-architected/resiliency/test-best-practices" TargetMode="External"/><Relationship Id="rId53" Type="http://schemas.openxmlformats.org/officeDocument/2006/relationships/hyperlink" Target="https://learn.microsoft.com/en-us/compliance/assurance/assurance-developing-your-ebcm-plan" TargetMode="External"/><Relationship Id="rId58" Type="http://schemas.openxmlformats.org/officeDocument/2006/relationships/hyperlink" Target="https://github.com/Azure/reliability-workbook" TargetMode="External"/><Relationship Id="rId66" Type="http://schemas.openxmlformats.org/officeDocument/2006/relationships/hyperlink" Target="https://learn.microsoft.com/en-us/azure/reliability/business-continuity-management-program" TargetMode="External"/><Relationship Id="rId5" Type="http://schemas.openxmlformats.org/officeDocument/2006/relationships/hyperlink" Target="https://learn.microsoft.com/en-us/azure/reliability/cross-region-replication-azure" TargetMode="External"/><Relationship Id="rId61" Type="http://schemas.openxmlformats.org/officeDocument/2006/relationships/hyperlink" Target="https://learn.microsoft.com/en-us/azure/architecture/data-guide/disaster-recovery/dr-for-azure-data-platform-recommendations" TargetMode="External"/><Relationship Id="rId19" Type="http://schemas.openxmlformats.org/officeDocument/2006/relationships/hyperlink" Target="https://learn.microsoft.com/en-us/azure/key-vault/general/soft-delete-change" TargetMode="External"/><Relationship Id="rId14" Type="http://schemas.openxmlformats.org/officeDocument/2006/relationships/hyperlink" Target="https://learn.microsoft.com/en-us/azure/architecture/checklist/resiliency-per-service?bc=%2Fazure%2Fcloud-adoption-framework%2F_bread%2Ftoc.json&amp;toc=%2Fazure%2Fcloud-adoption-framework%2Ftoc.json" TargetMode="External"/><Relationship Id="rId22" Type="http://schemas.openxmlformats.org/officeDocument/2006/relationships/hyperlink" Target="https://learn.microsoft.com/en-us/azure/azure-sql/database/active-geo-replication-overview?view=azuresql" TargetMode="External"/><Relationship Id="rId27" Type="http://schemas.openxmlformats.org/officeDocument/2006/relationships/hyperlink" Target="https://learn.microsoft.com/en-us/azure/storage/blobs/soft-delete-blob-overview" TargetMode="External"/><Relationship Id="rId30" Type="http://schemas.openxmlformats.org/officeDocument/2006/relationships/hyperlink" Target="https://learn.microsoft.com/en-us/azure/well-architected/mission-critical/mission-critical-deployment-testing" TargetMode="External"/><Relationship Id="rId35" Type="http://schemas.openxmlformats.org/officeDocument/2006/relationships/hyperlink" Target="https://docs.github.com/en/enterprise-cloud@latest/admin/policies/enforcing-policies-for-your-enterprise/enforcing-repository-management-policies-in-your-enterprise" TargetMode="External"/><Relationship Id="rId43" Type="http://schemas.openxmlformats.org/officeDocument/2006/relationships/hyperlink" Target="https://learn.microsoft.com/en-us/azure/well-architected/resiliency/backup-and-recovery" TargetMode="External"/><Relationship Id="rId48" Type="http://schemas.openxmlformats.org/officeDocument/2006/relationships/hyperlink" Target="https://learn.microsoft.com/en-US/azure/chaos-studio/chaos-studio-overview" TargetMode="External"/><Relationship Id="rId56" Type="http://schemas.openxmlformats.org/officeDocument/2006/relationships/hyperlink" Target="https://learn.microsoft.com/en-us/azure/reliability/availability-zones-service-support" TargetMode="External"/><Relationship Id="rId64" Type="http://schemas.openxmlformats.org/officeDocument/2006/relationships/hyperlink" Target="https://www.preventionweb.net/publication/tools-mainstreaming-disaster-risk-reduction-guidance-notes-development-organisations" TargetMode="External"/><Relationship Id="rId69" Type="http://schemas.openxmlformats.org/officeDocument/2006/relationships/table" Target="../tables/table111.xml"/><Relationship Id="rId8" Type="http://schemas.openxmlformats.org/officeDocument/2006/relationships/hyperlink" Target="https://learn.microsoft.com/en-us/azure/architecture/guide/technology-choices/load-balancing-overview" TargetMode="External"/><Relationship Id="rId51" Type="http://schemas.openxmlformats.org/officeDocument/2006/relationships/hyperlink" Target="https://learn.microsoft.com/en-us/azure/azure-monitor/app/app-map?tabs=net" TargetMode="External"/><Relationship Id="rId3" Type="http://schemas.openxmlformats.org/officeDocument/2006/relationships/hyperlink" Target="https://learn.microsoft.com/en-us/azure/reliability/availability-zones-overview" TargetMode="External"/><Relationship Id="rId12" Type="http://schemas.openxmlformats.org/officeDocument/2006/relationships/hyperlink" Target="https://www.microsoft.com/licensing/docs/view/Service-Level-Agreements-SLA-for-Online-Services?lang=1&amp;year=2023" TargetMode="External"/><Relationship Id="rId17" Type="http://schemas.openxmlformats.org/officeDocument/2006/relationships/hyperlink" Target="https://learn.microsoft.com/en-us/azure/architecture/framework/security/security-tradeoffs" TargetMode="External"/><Relationship Id="rId25" Type="http://schemas.openxmlformats.org/officeDocument/2006/relationships/hyperlink" Target="https://learn.microsoft.com/en-us/azure/azure-sql/database/auto-failover-group-sql-db?view=azuresql&amp;tabs=azure-powershell" TargetMode="External"/><Relationship Id="rId33" Type="http://schemas.openxmlformats.org/officeDocument/2006/relationships/hyperlink" Target="https://learn.microsoft.com/en-us/azure/active-directory/authentication/concept-resilient-controls" TargetMode="External"/><Relationship Id="rId38" Type="http://schemas.openxmlformats.org/officeDocument/2006/relationships/hyperlink" Target="https://learn.microsoft.com/en-us/assessments/azure-architecture-review/" TargetMode="External"/><Relationship Id="rId46" Type="http://schemas.openxmlformats.org/officeDocument/2006/relationships/hyperlink" Target="https://learn.microsoft.com/en-us/azure/well-architected/resiliency/monitor-checklist" TargetMode="External"/><Relationship Id="rId59" Type="http://schemas.openxmlformats.org/officeDocument/2006/relationships/hyperlink" Target="https://learn.microsoft.com/en-us/azure/active-directory/fundamentals/identity-secure-score" TargetMode="External"/><Relationship Id="rId67" Type="http://schemas.openxmlformats.org/officeDocument/2006/relationships/printerSettings" Target="../printerSettings/printerSettings38.bin"/><Relationship Id="rId20" Type="http://schemas.openxmlformats.org/officeDocument/2006/relationships/hyperlink" Target="https://learn.microsoft.com/en-us/azure/dns/dns-import-export" TargetMode="External"/><Relationship Id="rId41" Type="http://schemas.openxmlformats.org/officeDocument/2006/relationships/hyperlink" Target="https://learn.microsoft.com/en-us/azure/well-architected/resiliency/test-checklist?source=recommendations" TargetMode="External"/><Relationship Id="rId54" Type="http://schemas.openxmlformats.org/officeDocument/2006/relationships/hyperlink" Target="https://support.microsoft.com/en-us/office/create-a-fault-tree-analysis-diagram-11d9daff-46ea-47f8-82de-e0b5e37ade20" TargetMode="External"/><Relationship Id="rId62" Type="http://schemas.openxmlformats.org/officeDocument/2006/relationships/hyperlink" Target="https://www.iso.org/obp/ui/" TargetMode="External"/><Relationship Id="rId1" Type="http://schemas.openxmlformats.org/officeDocument/2006/relationships/hyperlink" Target="https://learn.microsoft.com/en-us/azure/reliability/business-continuity-management-program" TargetMode="External"/><Relationship Id="rId6" Type="http://schemas.openxmlformats.org/officeDocument/2006/relationships/hyperlink" Target="https://learn.microsoft.com/en-us/azure/virtual-machines/availability-set-overview" TargetMode="External"/><Relationship Id="rId15" Type="http://schemas.openxmlformats.org/officeDocument/2006/relationships/hyperlink" Target="https://learn.microsoft.com/en-us/azure/architecture/framework/cost/tradeoffs" TargetMode="External"/><Relationship Id="rId23" Type="http://schemas.openxmlformats.org/officeDocument/2006/relationships/hyperlink" Target="https://learn.microsoft.com/en-us/azure/service-bus-messaging/service-bus-geo-dr" TargetMode="External"/><Relationship Id="rId28" Type="http://schemas.openxmlformats.org/officeDocument/2006/relationships/hyperlink" Target="https://learn.microsoft.com/en-us/azure/storage/blobs/versioning-overview" TargetMode="External"/><Relationship Id="rId36" Type="http://schemas.openxmlformats.org/officeDocument/2006/relationships/hyperlink" Target="https://learn.microsoft.com/en-us/devops/operate/safe-deployment-practices" TargetMode="External"/><Relationship Id="rId49" Type="http://schemas.openxmlformats.org/officeDocument/2006/relationships/hyperlink" Target="https://learn.microsoft.com/en-us/azure/security/fundamentals/pen-testing" TargetMode="External"/><Relationship Id="rId57" Type="http://schemas.openxmlformats.org/officeDocument/2006/relationships/hyperlink" Target="https://azure.microsoft.com/en-au/pricing/calculator/" TargetMode="External"/><Relationship Id="rId10" Type="http://schemas.openxmlformats.org/officeDocument/2006/relationships/hyperlink" Target="https://learn.microsoft.com/en-us/azure/backup/backup-overview" TargetMode="External"/><Relationship Id="rId31" Type="http://schemas.openxmlformats.org/officeDocument/2006/relationships/hyperlink" Target="https://learn.microsoft.com/en-us/security/benchmark/azure/overview" TargetMode="External"/><Relationship Id="rId44" Type="http://schemas.openxmlformats.org/officeDocument/2006/relationships/hyperlink" Target="https://learn.microsoft.com/en-us/azure/well-architected/resiliency/chaos-engineering" TargetMode="External"/><Relationship Id="rId52" Type="http://schemas.openxmlformats.org/officeDocument/2006/relationships/hyperlink" Target="https://learn.microsoft.com/en-us/azure/azure-monitor/vm/vminsights-maps?source=recommendations" TargetMode="External"/><Relationship Id="rId60" Type="http://schemas.openxmlformats.org/officeDocument/2006/relationships/hyperlink" Target="https://learn.microsoft.com/en-us/azure/defender-for-cloud/secure-score-access-and-track" TargetMode="External"/><Relationship Id="rId65" Type="http://schemas.openxmlformats.org/officeDocument/2006/relationships/hyperlink" Target="https://learn.microsoft.com/en-us/azure/service-health/overview" TargetMode="External"/><Relationship Id="rId4" Type="http://schemas.openxmlformats.org/officeDocument/2006/relationships/hyperlink" Target="https://azure.microsoft.com/en-in/explore/global-infrastructure/geographies/" TargetMode="External"/><Relationship Id="rId9" Type="http://schemas.openxmlformats.org/officeDocument/2006/relationships/hyperlink" Target="https://learn.microsoft.com/en-us/azure/site-recovery/site-recovery-overview" TargetMode="External"/><Relationship Id="rId13" Type="http://schemas.openxmlformats.org/officeDocument/2006/relationships/hyperlink" Target="https://learn.microsoft.com/en-us/azure/reliability/reliability-guidance-overview" TargetMode="External"/><Relationship Id="rId18" Type="http://schemas.openxmlformats.org/officeDocument/2006/relationships/hyperlink" Target="https://learn.microsoft.com/en-us/azure/app-service/manage-backup?tabs=portal" TargetMode="External"/><Relationship Id="rId39" Type="http://schemas.openxmlformats.org/officeDocument/2006/relationships/hyperlink" Target="https://learn.microsoft.com/en-us/azure/defender-for-cloud/plan-multicloud-security-determine-compliance-requirements" TargetMode="External"/><Relationship Id="rId34" Type="http://schemas.openxmlformats.org/officeDocument/2006/relationships/hyperlink" Target="https://docs.github.com/en/code-security/getting-started/securing-your-repository" TargetMode="External"/><Relationship Id="rId50" Type="http://schemas.openxmlformats.org/officeDocument/2006/relationships/hyperlink" Target="https://learn.microsoft.com/en-us/assessments/azure-architecture-review/" TargetMode="External"/><Relationship Id="rId55" Type="http://schemas.openxmlformats.org/officeDocument/2006/relationships/hyperlink" Target="https://github.com/Azure/reliability-workbook" TargetMode="External"/></Relationships>
</file>

<file path=xl/worksheets/_rels/sheet39.xml.rels><?xml version="1.0" encoding="UTF-8" standalone="yes"?>
<Relationships xmlns="http://schemas.openxmlformats.org/package/2006/relationships"><Relationship Id="rId8" Type="http://schemas.openxmlformats.org/officeDocument/2006/relationships/table" Target="../tables/table117.xml"/><Relationship Id="rId13" Type="http://schemas.openxmlformats.org/officeDocument/2006/relationships/table" Target="../tables/table122.xml"/><Relationship Id="rId18" Type="http://schemas.openxmlformats.org/officeDocument/2006/relationships/table" Target="../tables/table127.xml"/><Relationship Id="rId26" Type="http://schemas.openxmlformats.org/officeDocument/2006/relationships/table" Target="../tables/table135.xml"/><Relationship Id="rId3" Type="http://schemas.openxmlformats.org/officeDocument/2006/relationships/table" Target="../tables/table112.xml"/><Relationship Id="rId21" Type="http://schemas.openxmlformats.org/officeDocument/2006/relationships/table" Target="../tables/table130.xml"/><Relationship Id="rId7" Type="http://schemas.openxmlformats.org/officeDocument/2006/relationships/table" Target="../tables/table116.xml"/><Relationship Id="rId12" Type="http://schemas.openxmlformats.org/officeDocument/2006/relationships/table" Target="../tables/table121.xml"/><Relationship Id="rId17" Type="http://schemas.openxmlformats.org/officeDocument/2006/relationships/table" Target="../tables/table126.xml"/><Relationship Id="rId25" Type="http://schemas.openxmlformats.org/officeDocument/2006/relationships/table" Target="../tables/table134.xml"/><Relationship Id="rId2" Type="http://schemas.openxmlformats.org/officeDocument/2006/relationships/drawing" Target="../drawings/drawing39.xml"/><Relationship Id="rId16" Type="http://schemas.openxmlformats.org/officeDocument/2006/relationships/table" Target="../tables/table125.xml"/><Relationship Id="rId20" Type="http://schemas.openxmlformats.org/officeDocument/2006/relationships/table" Target="../tables/table129.xml"/><Relationship Id="rId1" Type="http://schemas.openxmlformats.org/officeDocument/2006/relationships/printerSettings" Target="../printerSettings/printerSettings39.bin"/><Relationship Id="rId6" Type="http://schemas.openxmlformats.org/officeDocument/2006/relationships/table" Target="../tables/table115.xml"/><Relationship Id="rId11" Type="http://schemas.openxmlformats.org/officeDocument/2006/relationships/table" Target="../tables/table120.xml"/><Relationship Id="rId24" Type="http://schemas.openxmlformats.org/officeDocument/2006/relationships/table" Target="../tables/table133.xml"/><Relationship Id="rId5" Type="http://schemas.openxmlformats.org/officeDocument/2006/relationships/table" Target="../tables/table114.xml"/><Relationship Id="rId15" Type="http://schemas.openxmlformats.org/officeDocument/2006/relationships/table" Target="../tables/table124.xml"/><Relationship Id="rId23" Type="http://schemas.openxmlformats.org/officeDocument/2006/relationships/table" Target="../tables/table132.xml"/><Relationship Id="rId10" Type="http://schemas.openxmlformats.org/officeDocument/2006/relationships/table" Target="../tables/table119.xml"/><Relationship Id="rId19" Type="http://schemas.openxmlformats.org/officeDocument/2006/relationships/table" Target="../tables/table128.xml"/><Relationship Id="rId4" Type="http://schemas.openxmlformats.org/officeDocument/2006/relationships/table" Target="../tables/table113.xml"/><Relationship Id="rId9" Type="http://schemas.openxmlformats.org/officeDocument/2006/relationships/table" Target="../tables/table118.xml"/><Relationship Id="rId14" Type="http://schemas.openxmlformats.org/officeDocument/2006/relationships/table" Target="../tables/table123.xml"/><Relationship Id="rId22" Type="http://schemas.openxmlformats.org/officeDocument/2006/relationships/table" Target="../tables/table13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learn.microsoft.com/en-us/azure/cloud-adoption-framework/manage/considerations/criticality" TargetMode="External"/><Relationship Id="rId4" Type="http://schemas.openxmlformats.org/officeDocument/2006/relationships/table" Target="../tables/table3.xml"/></Relationships>
</file>

<file path=xl/worksheets/_rels/sheet8.xml.rels><?xml version="1.0" encoding="UTF-8" standalone="yes"?>
<Relationships xmlns="http://schemas.openxmlformats.org/package/2006/relationships"><Relationship Id="rId3" Type="http://schemas.openxmlformats.org/officeDocument/2006/relationships/hyperlink" Target="https://learn.microsoft.com/en-us/security/benchmark/azure/overview" TargetMode="External"/><Relationship Id="rId2" Type="http://schemas.openxmlformats.org/officeDocument/2006/relationships/hyperlink" Target="https://learn.microsoft.com/en-us/azure/cloud-adoption-framework/manage/considerations/criticality" TargetMode="External"/><Relationship Id="rId1" Type="http://schemas.openxmlformats.org/officeDocument/2006/relationships/hyperlink" Target="https://learn.microsoft.com/en-us/azure/well-architected/mission-critical/mission-critical-deployment-testing" TargetMode="External"/><Relationship Id="rId6" Type="http://schemas.openxmlformats.org/officeDocument/2006/relationships/table" Target="../tables/table4.xml"/><Relationship Id="rId5" Type="http://schemas.openxmlformats.org/officeDocument/2006/relationships/drawing" Target="../drawings/drawing8.xml"/><Relationship Id="rId4"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8" Type="http://schemas.openxmlformats.org/officeDocument/2006/relationships/drawing" Target="../drawings/drawing9.xml"/><Relationship Id="rId3" Type="http://schemas.openxmlformats.org/officeDocument/2006/relationships/hyperlink" Target="https://docs.github.com/en/enterprise-cloud@latest/admin/policies/enforcing-policies-for-your-enterprise/enforcing-repository-management-policies-in-your-enterprise" TargetMode="External"/><Relationship Id="rId7" Type="http://schemas.openxmlformats.org/officeDocument/2006/relationships/printerSettings" Target="../printerSettings/printerSettings9.bin"/><Relationship Id="rId2" Type="http://schemas.openxmlformats.org/officeDocument/2006/relationships/hyperlink" Target="https://docs.github.com/en/code-security/getting-started/securing-your-repository" TargetMode="External"/><Relationship Id="rId1" Type="http://schemas.openxmlformats.org/officeDocument/2006/relationships/hyperlink" Target="https://learn.microsoft.com/en-us/azure/active-directory/authentication/concept-resilient-controls" TargetMode="External"/><Relationship Id="rId6" Type="http://schemas.openxmlformats.org/officeDocument/2006/relationships/hyperlink" Target="https://azure.microsoft.com/en-us/resources/resilience-in-azure-whitepaper/" TargetMode="External"/><Relationship Id="rId5" Type="http://schemas.openxmlformats.org/officeDocument/2006/relationships/hyperlink" Target="https://learn.microsoft.com/en-us/devops/operate/safe-deployment-practices" TargetMode="External"/><Relationship Id="rId4" Type="http://schemas.openxmlformats.org/officeDocument/2006/relationships/hyperlink" Target="https://learn.microsoft.com/en-us/devops/operate/safe-deployment-practices"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BAD744-C4E5-44E4-816E-9F7974D11020}">
  <dimension ref="A1:H30"/>
  <sheetViews>
    <sheetView showGridLines="0" showRowColHeaders="0" zoomScale="115" zoomScaleNormal="115" workbookViewId="0">
      <selection activeCell="G28" sqref="G28"/>
    </sheetView>
  </sheetViews>
  <sheetFormatPr defaultColWidth="0" defaultRowHeight="14.45" zeroHeight="1"/>
  <cols>
    <col min="1" max="1" width="5.85546875" customWidth="1"/>
    <col min="2" max="2" width="11.85546875" bestFit="1" customWidth="1"/>
    <col min="3" max="3" width="24.5703125" bestFit="1" customWidth="1"/>
    <col min="4" max="4" width="23.140625" bestFit="1" customWidth="1"/>
    <col min="5" max="5" width="37.140625" customWidth="1"/>
    <col min="6" max="6" width="16.140625" bestFit="1" customWidth="1"/>
    <col min="7" max="7" width="135.42578125" customWidth="1"/>
    <col min="8" max="8" width="3.85546875" customWidth="1"/>
    <col min="9" max="16384" width="8.85546875" hidden="1"/>
  </cols>
  <sheetData>
    <row r="1" spans="1:8">
      <c r="A1" s="4"/>
      <c r="B1" s="4"/>
      <c r="C1" s="4"/>
      <c r="D1" s="4"/>
      <c r="E1" s="4"/>
      <c r="F1" s="4"/>
      <c r="G1" s="4"/>
      <c r="H1" s="4"/>
    </row>
    <row r="2" spans="1:8">
      <c r="A2" s="4"/>
      <c r="B2" s="4"/>
      <c r="C2" s="4"/>
      <c r="D2" s="4"/>
      <c r="E2" s="4"/>
      <c r="F2" s="4"/>
      <c r="G2" s="4"/>
      <c r="H2" s="4"/>
    </row>
    <row r="3" spans="1:8">
      <c r="A3" s="4"/>
      <c r="B3" s="4"/>
      <c r="C3" s="4"/>
      <c r="D3" s="4"/>
      <c r="E3" s="4"/>
      <c r="F3" s="4"/>
      <c r="G3" s="4"/>
      <c r="H3" s="4"/>
    </row>
    <row r="4" spans="1:8">
      <c r="A4" s="4"/>
      <c r="B4" s="4"/>
      <c r="C4" s="4"/>
      <c r="D4" s="4"/>
      <c r="E4" s="4"/>
      <c r="F4" s="4"/>
      <c r="G4" s="4"/>
      <c r="H4" s="4"/>
    </row>
    <row r="5" spans="1:8">
      <c r="A5" s="4"/>
      <c r="B5" s="4"/>
      <c r="C5" s="4"/>
      <c r="D5" s="4"/>
      <c r="E5" s="4"/>
      <c r="F5" s="4"/>
      <c r="G5" s="4"/>
      <c r="H5" s="4"/>
    </row>
    <row r="6" spans="1:8">
      <c r="A6" s="4"/>
      <c r="B6" s="4"/>
      <c r="C6" s="4"/>
      <c r="D6" s="4"/>
      <c r="E6" s="4"/>
      <c r="F6" s="4"/>
      <c r="G6" s="4"/>
      <c r="H6" s="4"/>
    </row>
    <row r="7" spans="1:8">
      <c r="A7" s="4"/>
      <c r="B7" s="4"/>
      <c r="C7" s="4"/>
      <c r="D7" s="4"/>
      <c r="E7" s="4"/>
      <c r="F7" s="4"/>
      <c r="G7" s="4"/>
      <c r="H7" s="4"/>
    </row>
    <row r="8" spans="1:8">
      <c r="A8" s="4"/>
      <c r="B8" s="4"/>
      <c r="C8" s="4"/>
      <c r="D8" s="4"/>
      <c r="E8" s="4"/>
      <c r="F8" s="4"/>
      <c r="G8" s="4"/>
      <c r="H8" s="4"/>
    </row>
    <row r="9" spans="1:8">
      <c r="A9" s="4"/>
      <c r="B9" s="4"/>
      <c r="C9" s="4"/>
      <c r="D9" s="4"/>
      <c r="E9" s="4"/>
      <c r="F9" s="4"/>
      <c r="G9" s="4"/>
      <c r="H9" s="4"/>
    </row>
    <row r="10" spans="1:8">
      <c r="A10" s="4"/>
      <c r="B10" s="4"/>
      <c r="C10" s="4"/>
      <c r="D10" s="4"/>
      <c r="E10" s="4"/>
      <c r="F10" s="4"/>
      <c r="G10" s="4"/>
      <c r="H10" s="4"/>
    </row>
    <row r="11" spans="1:8">
      <c r="A11" s="4"/>
      <c r="B11" s="4"/>
      <c r="C11" s="4"/>
      <c r="D11" s="4"/>
      <c r="E11" s="4"/>
      <c r="F11" s="4"/>
      <c r="G11" s="4"/>
      <c r="H11" s="4"/>
    </row>
    <row r="12" spans="1:8">
      <c r="A12" s="4"/>
      <c r="B12" s="4"/>
      <c r="C12" s="4"/>
      <c r="D12" s="4"/>
      <c r="E12" s="4"/>
      <c r="F12" s="4"/>
      <c r="G12" s="4"/>
      <c r="H12" s="4"/>
    </row>
    <row r="13" spans="1:8">
      <c r="A13" s="4"/>
      <c r="B13" s="4"/>
      <c r="C13" s="4"/>
      <c r="D13" s="4"/>
      <c r="E13" s="4"/>
      <c r="F13" s="4"/>
      <c r="G13" s="4"/>
      <c r="H13" s="4"/>
    </row>
    <row r="14" spans="1:8">
      <c r="A14" s="4"/>
      <c r="B14" s="4"/>
      <c r="C14" s="4"/>
      <c r="D14" s="4"/>
      <c r="E14" s="4"/>
      <c r="F14" s="4"/>
      <c r="G14" s="4"/>
      <c r="H14" s="4"/>
    </row>
    <row r="15" spans="1:8">
      <c r="A15" s="4"/>
      <c r="B15" s="4"/>
      <c r="C15" s="4"/>
      <c r="D15" s="4"/>
      <c r="E15" s="4"/>
      <c r="F15" s="4"/>
      <c r="G15" s="4"/>
      <c r="H15" s="4"/>
    </row>
    <row r="16" spans="1:8">
      <c r="A16" s="4"/>
      <c r="B16" s="4"/>
      <c r="C16" s="4"/>
      <c r="D16" s="4"/>
      <c r="E16" s="4"/>
      <c r="F16" s="4"/>
      <c r="G16" s="4"/>
      <c r="H16" s="4"/>
    </row>
    <row r="17" spans="1:8">
      <c r="A17" s="4"/>
      <c r="B17" s="4"/>
      <c r="C17" s="4"/>
      <c r="D17" s="4"/>
      <c r="E17" s="4"/>
      <c r="F17" s="4"/>
      <c r="G17" s="4"/>
      <c r="H17" s="4"/>
    </row>
    <row r="18" spans="1:8">
      <c r="A18" s="4"/>
      <c r="B18" s="4"/>
      <c r="C18" s="4"/>
      <c r="D18" s="4"/>
      <c r="E18" s="4"/>
      <c r="F18" s="4"/>
      <c r="G18" s="4"/>
      <c r="H18" s="4"/>
    </row>
    <row r="19" spans="1:8">
      <c r="A19" s="4"/>
      <c r="B19" s="4"/>
      <c r="C19" s="4"/>
      <c r="D19" s="4"/>
      <c r="E19" s="4"/>
      <c r="F19" s="4"/>
      <c r="G19" s="4"/>
      <c r="H19" s="4"/>
    </row>
    <row r="20" spans="1:8">
      <c r="A20" s="4"/>
      <c r="B20" s="4"/>
      <c r="C20" s="4"/>
      <c r="D20" s="4"/>
      <c r="E20" s="4"/>
      <c r="F20" s="4"/>
      <c r="G20" s="4"/>
      <c r="H20" s="4"/>
    </row>
    <row r="21" spans="1:8">
      <c r="A21" s="4"/>
      <c r="B21" s="4"/>
      <c r="C21" s="4"/>
      <c r="D21" s="4"/>
      <c r="E21" s="4"/>
      <c r="F21" s="4"/>
      <c r="G21" s="4"/>
      <c r="H21" s="4"/>
    </row>
    <row r="22" spans="1:8">
      <c r="A22" s="4"/>
      <c r="B22" s="4"/>
      <c r="C22" s="4"/>
      <c r="D22" s="4"/>
      <c r="E22" s="4"/>
      <c r="F22" s="4"/>
      <c r="G22" s="4"/>
      <c r="H22" s="4"/>
    </row>
    <row r="23" spans="1:8">
      <c r="A23" s="4"/>
      <c r="B23" s="18" t="s">
        <v>0</v>
      </c>
      <c r="C23" s="18" t="s">
        <v>1</v>
      </c>
      <c r="D23" s="18" t="s">
        <v>2</v>
      </c>
      <c r="E23" s="18" t="s">
        <v>3</v>
      </c>
      <c r="F23" s="4"/>
      <c r="G23" s="4"/>
      <c r="H23" s="4"/>
    </row>
    <row r="24" spans="1:8">
      <c r="A24" s="4"/>
      <c r="B24" s="18">
        <v>0.5</v>
      </c>
      <c r="C24" s="269">
        <v>45159</v>
      </c>
      <c r="D24" s="18" t="s">
        <v>4</v>
      </c>
      <c r="E24" s="18"/>
      <c r="F24" s="4"/>
      <c r="G24" s="4"/>
      <c r="H24" s="4"/>
    </row>
    <row r="25" spans="1:8">
      <c r="A25" s="4"/>
      <c r="B25" s="18"/>
      <c r="C25" s="269"/>
      <c r="D25" s="18"/>
      <c r="E25" s="18"/>
      <c r="F25" s="4"/>
      <c r="G25" s="4"/>
      <c r="H25" s="4"/>
    </row>
    <row r="26" spans="1:8">
      <c r="A26" s="4"/>
      <c r="B26" s="18"/>
      <c r="C26" s="269"/>
      <c r="D26" s="18"/>
      <c r="E26" s="18"/>
      <c r="F26" s="4"/>
      <c r="G26" s="4"/>
      <c r="H26" s="4"/>
    </row>
    <row r="27" spans="1:8">
      <c r="A27" s="4"/>
      <c r="B27" s="18"/>
      <c r="C27" s="269"/>
      <c r="D27" s="18"/>
      <c r="E27" s="18"/>
      <c r="F27" s="4"/>
      <c r="G27" s="4"/>
      <c r="H27" s="4"/>
    </row>
    <row r="28" spans="1:8">
      <c r="A28" s="4"/>
      <c r="B28" s="18"/>
      <c r="C28" s="269"/>
      <c r="D28" s="18"/>
      <c r="E28" s="18"/>
      <c r="F28" s="4"/>
      <c r="G28" s="4"/>
      <c r="H28" s="4"/>
    </row>
    <row r="29" spans="1:8">
      <c r="A29" s="4"/>
      <c r="B29" s="18"/>
      <c r="C29" s="269"/>
      <c r="D29" s="18"/>
      <c r="E29" s="18"/>
      <c r="F29" s="4"/>
      <c r="G29" s="4"/>
      <c r="H29" s="4"/>
    </row>
    <row r="30" spans="1:8">
      <c r="A30" s="4"/>
      <c r="B30" s="4"/>
      <c r="C30" s="4"/>
      <c r="D30" s="4"/>
      <c r="E30" s="4"/>
      <c r="F30" s="4"/>
      <c r="G30" s="4"/>
      <c r="H30" s="4"/>
    </row>
  </sheetData>
  <phoneticPr fontId="65"/>
  <pageMargins left="0.7" right="0.7" top="0.75" bottom="0.75" header="0.3" footer="0.3"/>
  <pageSetup paperSize="9" orientation="portrait" r:id="rId1"/>
  <drawing r:id="rId2"/>
  <tableParts count="1">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BA261-8A76-4BBE-81E9-FFDF0FB8663E}">
  <sheetPr>
    <tabColor rgb="FFF25022"/>
  </sheetPr>
  <dimension ref="A1:AJ69"/>
  <sheetViews>
    <sheetView showGridLines="0" showRowColHeaders="0" zoomScale="85" zoomScaleNormal="85" workbookViewId="0">
      <selection activeCell="P8" sqref="P8"/>
    </sheetView>
  </sheetViews>
  <sheetFormatPr defaultColWidth="0" defaultRowHeight="14.45" zeroHeight="1" outlineLevelRow="1"/>
  <cols>
    <col min="1" max="2" width="5.85546875" customWidth="1"/>
    <col min="3" max="3" width="2.85546875" customWidth="1"/>
    <col min="4" max="4" width="45.85546875" bestFit="1" customWidth="1"/>
    <col min="5" max="5" width="50.5703125" customWidth="1"/>
    <col min="6" max="6" width="22.140625" bestFit="1" customWidth="1"/>
    <col min="7" max="7" width="21.85546875" bestFit="1" customWidth="1"/>
    <col min="8" max="8" width="19.42578125" bestFit="1" customWidth="1"/>
    <col min="9" max="9" width="17.5703125" bestFit="1" customWidth="1"/>
    <col min="10" max="10" width="22.140625" bestFit="1" customWidth="1"/>
    <col min="11" max="12" width="20.85546875" bestFit="1" customWidth="1"/>
    <col min="13" max="13" width="21" bestFit="1" customWidth="1"/>
    <col min="14" max="14" width="15.42578125" bestFit="1" customWidth="1"/>
    <col min="15" max="15" width="17.140625" bestFit="1" customWidth="1"/>
    <col min="16" max="16" width="23.140625" bestFit="1" customWidth="1"/>
    <col min="17" max="17" width="18.140625" bestFit="1" customWidth="1"/>
    <col min="18" max="19" width="3.85546875" customWidth="1"/>
    <col min="20" max="24" width="17.5703125" hidden="1" customWidth="1"/>
    <col min="25" max="25" width="3.140625" hidden="1" customWidth="1"/>
    <col min="26" max="26" width="19.42578125" hidden="1" customWidth="1"/>
    <col min="27" max="28" width="15.42578125" hidden="1" customWidth="1"/>
    <col min="29" max="29" width="15.5703125" hidden="1" customWidth="1"/>
    <col min="30" max="30" width="14.140625" hidden="1" customWidth="1"/>
    <col min="31" max="31" width="15.85546875" hidden="1" customWidth="1"/>
    <col min="32" max="33" width="8.85546875" hidden="1" customWidth="1"/>
    <col min="34" max="34" width="13.140625" hidden="1" customWidth="1"/>
    <col min="35" max="35" width="8.85546875" hidden="1" customWidth="1"/>
    <col min="36" max="36" width="13.140625" hidden="1" customWidth="1"/>
    <col min="37" max="16384" width="8.85546875" hidden="1"/>
  </cols>
  <sheetData>
    <row r="1" spans="1:26">
      <c r="A1" s="4"/>
      <c r="B1" s="4"/>
      <c r="C1" s="4"/>
      <c r="D1" s="4"/>
      <c r="E1" s="4"/>
      <c r="F1" s="4"/>
      <c r="G1" s="4"/>
      <c r="H1" s="4"/>
      <c r="I1" s="4"/>
      <c r="J1" s="4"/>
      <c r="K1" s="4"/>
      <c r="L1" s="4"/>
      <c r="M1" s="8"/>
      <c r="N1" s="8"/>
      <c r="O1" s="8"/>
      <c r="P1" s="8"/>
      <c r="Q1" s="8"/>
      <c r="R1" s="8"/>
      <c r="S1" s="8"/>
    </row>
    <row r="2" spans="1:26" ht="21">
      <c r="A2" s="5"/>
      <c r="B2" s="5"/>
      <c r="C2" s="643" t="s">
        <v>471</v>
      </c>
      <c r="D2" s="643"/>
      <c r="E2" s="643"/>
      <c r="F2" s="643"/>
      <c r="G2" s="643"/>
      <c r="H2" s="643"/>
      <c r="I2" s="643"/>
      <c r="J2" s="643"/>
      <c r="K2" s="643"/>
      <c r="L2" s="643"/>
      <c r="M2" s="643"/>
      <c r="N2" s="643"/>
      <c r="O2" s="643"/>
      <c r="P2" s="643"/>
      <c r="Q2" s="643"/>
      <c r="R2" s="643"/>
      <c r="S2" s="232"/>
    </row>
    <row r="3" spans="1:26" ht="21" customHeight="1">
      <c r="A3" s="5"/>
      <c r="B3" s="5"/>
      <c r="C3" s="628" t="s">
        <v>472</v>
      </c>
      <c r="D3" s="628"/>
      <c r="E3" s="628"/>
      <c r="F3" s="628"/>
      <c r="G3" s="628"/>
      <c r="H3" s="628"/>
      <c r="I3" s="628"/>
      <c r="J3" s="628"/>
      <c r="K3" s="628"/>
      <c r="L3" s="628"/>
      <c r="M3" s="628"/>
      <c r="N3" s="628"/>
      <c r="O3" s="628"/>
      <c r="P3" s="628"/>
      <c r="Q3" s="628"/>
      <c r="R3" s="628"/>
      <c r="S3" s="233"/>
    </row>
    <row r="4" spans="1:26" ht="21">
      <c r="A4" s="5"/>
      <c r="B4" s="5"/>
      <c r="C4" s="5"/>
      <c r="D4" s="197"/>
      <c r="E4" s="197"/>
      <c r="F4" s="197"/>
      <c r="G4" s="197"/>
      <c r="H4" s="197"/>
      <c r="I4" s="197"/>
      <c r="J4" s="197"/>
      <c r="K4" s="197"/>
      <c r="L4" s="197"/>
      <c r="M4" s="197"/>
      <c r="N4" s="197"/>
      <c r="O4" s="197"/>
      <c r="P4" s="197"/>
      <c r="Q4" s="197"/>
      <c r="R4" s="197"/>
      <c r="S4" s="197"/>
    </row>
    <row r="5" spans="1:26" ht="21">
      <c r="A5" s="5"/>
      <c r="B5" s="5"/>
      <c r="C5" s="198"/>
      <c r="D5" s="7"/>
      <c r="E5" s="106"/>
      <c r="F5" s="7"/>
      <c r="G5" s="7"/>
      <c r="H5" s="7"/>
      <c r="I5" s="7"/>
      <c r="J5" s="7"/>
      <c r="K5" s="7"/>
      <c r="L5" s="7"/>
      <c r="M5" s="7"/>
      <c r="N5" s="7"/>
      <c r="O5" s="7"/>
      <c r="P5" s="7"/>
      <c r="Q5" s="7"/>
      <c r="R5" s="7"/>
      <c r="S5" s="4"/>
      <c r="Z5" s="7"/>
    </row>
    <row r="6" spans="1:26" ht="21">
      <c r="A6" s="5"/>
      <c r="B6" s="5"/>
      <c r="C6" s="198"/>
      <c r="D6" s="140" t="s">
        <v>299</v>
      </c>
      <c r="E6" s="209"/>
      <c r="F6" s="7"/>
      <c r="G6" s="7"/>
      <c r="H6" s="7"/>
      <c r="I6" s="7"/>
      <c r="J6" s="7"/>
      <c r="K6" s="7"/>
      <c r="L6" s="7"/>
      <c r="M6" s="7"/>
      <c r="N6" s="7"/>
      <c r="O6" s="7"/>
      <c r="P6" s="7"/>
      <c r="Q6" s="7"/>
      <c r="R6" s="7"/>
      <c r="S6" s="4"/>
      <c r="Z6" s="7"/>
    </row>
    <row r="7" spans="1:26" ht="21">
      <c r="A7" s="5"/>
      <c r="B7" s="5"/>
      <c r="C7" s="198"/>
      <c r="D7" s="142" t="s">
        <v>300</v>
      </c>
      <c r="E7" s="210"/>
      <c r="F7" s="7"/>
      <c r="G7" s="7"/>
      <c r="H7" s="7"/>
      <c r="I7" s="7"/>
      <c r="J7" s="7"/>
      <c r="K7" s="7"/>
      <c r="L7" s="7"/>
      <c r="M7" s="7"/>
      <c r="N7" s="7"/>
      <c r="O7" s="7"/>
      <c r="P7" s="7"/>
      <c r="Q7" s="7"/>
      <c r="R7" s="7"/>
      <c r="S7" s="4"/>
      <c r="Z7" s="7"/>
    </row>
    <row r="8" spans="1:26" ht="21">
      <c r="A8" s="5"/>
      <c r="B8" s="5"/>
      <c r="C8" s="198"/>
      <c r="D8" s="142" t="s">
        <v>301</v>
      </c>
      <c r="E8" s="210"/>
      <c r="F8" s="7"/>
      <c r="G8" s="7"/>
      <c r="H8" s="7"/>
      <c r="I8" s="7"/>
      <c r="J8" s="7"/>
      <c r="K8" s="7"/>
      <c r="L8" s="7"/>
      <c r="M8" s="7"/>
      <c r="N8" s="7"/>
      <c r="O8" s="7"/>
      <c r="P8" s="7"/>
      <c r="Q8" s="7"/>
      <c r="R8" s="7"/>
      <c r="S8" s="4"/>
      <c r="Z8" s="7"/>
    </row>
    <row r="9" spans="1:26" ht="21">
      <c r="A9" s="5"/>
      <c r="B9" s="5"/>
      <c r="C9" s="198"/>
      <c r="D9" s="144" t="s">
        <v>0</v>
      </c>
      <c r="E9" s="211"/>
      <c r="F9" s="7"/>
      <c r="G9" s="7"/>
      <c r="H9" s="7"/>
      <c r="I9" s="7"/>
      <c r="J9" s="7"/>
      <c r="K9" s="7"/>
      <c r="L9" s="7"/>
      <c r="M9" s="7"/>
      <c r="N9" s="7"/>
      <c r="O9" s="7"/>
      <c r="P9" s="7"/>
      <c r="Q9" s="7"/>
      <c r="R9" s="7"/>
      <c r="S9" s="4"/>
      <c r="Z9" s="7"/>
    </row>
    <row r="10" spans="1:26" ht="21">
      <c r="A10" s="5"/>
      <c r="B10" s="5"/>
      <c r="C10" s="198"/>
      <c r="D10" s="7"/>
      <c r="E10" s="7"/>
      <c r="F10" s="159"/>
      <c r="G10" s="159"/>
      <c r="H10" s="159"/>
      <c r="I10" s="159"/>
      <c r="J10" s="159"/>
      <c r="K10" s="159"/>
      <c r="L10" s="159"/>
      <c r="M10" s="159"/>
      <c r="N10" s="159"/>
      <c r="O10" s="159"/>
      <c r="P10" s="159"/>
      <c r="Q10" s="159"/>
      <c r="R10" s="159"/>
      <c r="S10" s="4"/>
      <c r="Z10" s="7"/>
    </row>
    <row r="11" spans="1:26" ht="21">
      <c r="A11" s="5"/>
      <c r="B11" s="5"/>
      <c r="C11" s="5"/>
      <c r="D11" s="197"/>
      <c r="E11" s="197"/>
      <c r="F11" s="197"/>
      <c r="G11" s="197"/>
      <c r="H11" s="197"/>
      <c r="I11" s="197"/>
      <c r="J11" s="197"/>
      <c r="K11" s="197"/>
      <c r="L11" s="197"/>
      <c r="M11" s="197"/>
      <c r="N11" s="197"/>
      <c r="O11" s="197"/>
      <c r="P11" s="197"/>
      <c r="Q11" s="197"/>
      <c r="R11" s="197"/>
      <c r="S11" s="197"/>
    </row>
    <row r="12" spans="1:26" ht="21">
      <c r="A12" s="5"/>
      <c r="B12" s="5"/>
      <c r="C12" s="198"/>
      <c r="D12" s="229"/>
      <c r="E12" s="229"/>
      <c r="F12" s="229"/>
      <c r="G12" s="229"/>
      <c r="H12" s="229"/>
      <c r="I12" s="229"/>
      <c r="J12" s="229"/>
      <c r="K12" s="229"/>
      <c r="L12" s="229"/>
      <c r="M12" s="229"/>
      <c r="N12" s="229"/>
      <c r="O12" s="229"/>
      <c r="P12" s="229"/>
      <c r="Q12" s="229"/>
      <c r="R12" s="229"/>
      <c r="S12" s="197"/>
    </row>
    <row r="13" spans="1:26" ht="29.1">
      <c r="A13" s="4"/>
      <c r="B13" s="4"/>
      <c r="C13" s="7"/>
      <c r="D13" s="16" t="s">
        <v>473</v>
      </c>
      <c r="E13" s="16" t="s">
        <v>474</v>
      </c>
      <c r="F13" s="18" t="s">
        <v>475</v>
      </c>
      <c r="G13" s="18" t="s">
        <v>476</v>
      </c>
      <c r="H13" s="18" t="s">
        <v>477</v>
      </c>
      <c r="I13" s="18" t="s">
        <v>478</v>
      </c>
      <c r="J13" s="18" t="s">
        <v>479</v>
      </c>
      <c r="K13" s="18" t="s">
        <v>480</v>
      </c>
      <c r="L13" s="18" t="s">
        <v>481</v>
      </c>
      <c r="M13" s="18" t="s">
        <v>482</v>
      </c>
      <c r="N13" s="18" t="s">
        <v>483</v>
      </c>
      <c r="O13" s="18" t="s">
        <v>484</v>
      </c>
      <c r="P13" s="18" t="s">
        <v>485</v>
      </c>
      <c r="Q13" s="18" t="s">
        <v>486</v>
      </c>
      <c r="R13" s="231"/>
      <c r="S13" s="230"/>
    </row>
    <row r="14" spans="1:26" ht="30.6">
      <c r="A14" s="5"/>
      <c r="B14" s="5"/>
      <c r="C14" s="198"/>
      <c r="D14" s="16" t="s">
        <v>487</v>
      </c>
      <c r="E14" s="18" t="s">
        <v>488</v>
      </c>
      <c r="F14" s="287" t="s">
        <v>489</v>
      </c>
      <c r="G14" s="287" t="s">
        <v>490</v>
      </c>
      <c r="H14" s="287" t="s">
        <v>491</v>
      </c>
      <c r="I14" s="287" t="s">
        <v>492</v>
      </c>
      <c r="J14" s="287" t="s">
        <v>491</v>
      </c>
      <c r="K14" s="287" t="s">
        <v>491</v>
      </c>
      <c r="L14" s="287" t="s">
        <v>491</v>
      </c>
      <c r="M14" s="287" t="s">
        <v>491</v>
      </c>
      <c r="N14" s="287" t="s">
        <v>491</v>
      </c>
      <c r="O14" s="287" t="s">
        <v>492</v>
      </c>
      <c r="P14" s="287" t="s">
        <v>491</v>
      </c>
      <c r="Q14" s="287" t="s">
        <v>492</v>
      </c>
      <c r="R14" s="7"/>
      <c r="S14" s="4"/>
    </row>
    <row r="15" spans="1:26" ht="18.600000000000001">
      <c r="A15" s="4"/>
      <c r="B15" s="4"/>
      <c r="C15" s="7"/>
      <c r="D15" s="16" t="s">
        <v>493</v>
      </c>
      <c r="E15" s="18" t="s">
        <v>494</v>
      </c>
      <c r="F15" s="287" t="s">
        <v>489</v>
      </c>
      <c r="G15" s="287" t="s">
        <v>490</v>
      </c>
      <c r="H15" s="287" t="s">
        <v>491</v>
      </c>
      <c r="I15" s="287" t="s">
        <v>492</v>
      </c>
      <c r="J15" s="287" t="s">
        <v>491</v>
      </c>
      <c r="K15" s="287" t="s">
        <v>491</v>
      </c>
      <c r="L15" s="287" t="s">
        <v>491</v>
      </c>
      <c r="M15" s="287" t="s">
        <v>491</v>
      </c>
      <c r="N15" s="287" t="s">
        <v>491</v>
      </c>
      <c r="O15" s="287" t="s">
        <v>492</v>
      </c>
      <c r="P15" s="287" t="s">
        <v>491</v>
      </c>
      <c r="Q15" s="287" t="s">
        <v>492</v>
      </c>
      <c r="R15" s="7"/>
      <c r="S15" s="4"/>
    </row>
    <row r="16" spans="1:26" ht="29.1">
      <c r="A16" s="4"/>
      <c r="B16" s="4"/>
      <c r="C16" s="7"/>
      <c r="D16" s="16" t="s">
        <v>495</v>
      </c>
      <c r="E16" s="18" t="s">
        <v>496</v>
      </c>
      <c r="F16" s="287" t="s">
        <v>489</v>
      </c>
      <c r="G16" s="287" t="s">
        <v>490</v>
      </c>
      <c r="H16" s="287" t="s">
        <v>491</v>
      </c>
      <c r="I16" s="287" t="s">
        <v>492</v>
      </c>
      <c r="J16" s="287" t="s">
        <v>491</v>
      </c>
      <c r="K16" s="287" t="s">
        <v>491</v>
      </c>
      <c r="L16" s="287" t="s">
        <v>491</v>
      </c>
      <c r="M16" s="287" t="s">
        <v>491</v>
      </c>
      <c r="N16" s="287" t="s">
        <v>491</v>
      </c>
      <c r="O16" s="287" t="s">
        <v>492</v>
      </c>
      <c r="P16" s="287" t="s">
        <v>491</v>
      </c>
      <c r="Q16" s="287" t="s">
        <v>492</v>
      </c>
      <c r="R16" s="7"/>
      <c r="S16" s="4"/>
    </row>
    <row r="17" spans="1:19" ht="18.600000000000001">
      <c r="A17" s="4"/>
      <c r="B17" s="4"/>
      <c r="C17" s="7"/>
      <c r="D17" s="16" t="s">
        <v>497</v>
      </c>
      <c r="E17" s="18" t="s">
        <v>498</v>
      </c>
      <c r="F17" s="287" t="s">
        <v>491</v>
      </c>
      <c r="G17" s="287" t="s">
        <v>490</v>
      </c>
      <c r="H17" s="287" t="s">
        <v>489</v>
      </c>
      <c r="I17" s="287" t="s">
        <v>491</v>
      </c>
      <c r="J17" s="287" t="s">
        <v>492</v>
      </c>
      <c r="K17" s="287" t="s">
        <v>491</v>
      </c>
      <c r="L17" s="287" t="s">
        <v>491</v>
      </c>
      <c r="M17" s="287" t="s">
        <v>491</v>
      </c>
      <c r="N17" s="287" t="s">
        <v>491</v>
      </c>
      <c r="O17" s="287" t="s">
        <v>491</v>
      </c>
      <c r="P17" s="287" t="s">
        <v>489</v>
      </c>
      <c r="Q17" s="287" t="s">
        <v>492</v>
      </c>
      <c r="R17" s="7"/>
      <c r="S17" s="4"/>
    </row>
    <row r="18" spans="1:19" ht="29.1">
      <c r="A18" s="4"/>
      <c r="B18" s="4"/>
      <c r="C18" s="7"/>
      <c r="D18" s="16" t="s">
        <v>499</v>
      </c>
      <c r="E18" s="18" t="s">
        <v>500</v>
      </c>
      <c r="F18" s="287" t="s">
        <v>489</v>
      </c>
      <c r="G18" s="287" t="s">
        <v>490</v>
      </c>
      <c r="H18" s="287" t="s">
        <v>491</v>
      </c>
      <c r="I18" s="287" t="s">
        <v>491</v>
      </c>
      <c r="J18" s="287" t="s">
        <v>491</v>
      </c>
      <c r="K18" s="287" t="s">
        <v>491</v>
      </c>
      <c r="L18" s="287" t="s">
        <v>491</v>
      </c>
      <c r="M18" s="287" t="s">
        <v>491</v>
      </c>
      <c r="N18" s="287" t="s">
        <v>491</v>
      </c>
      <c r="O18" s="287" t="s">
        <v>491</v>
      </c>
      <c r="P18" s="287" t="s">
        <v>491</v>
      </c>
      <c r="Q18" s="287" t="s">
        <v>492</v>
      </c>
      <c r="R18" s="7"/>
      <c r="S18" s="4"/>
    </row>
    <row r="19" spans="1:19" ht="18.600000000000001">
      <c r="A19" s="4"/>
      <c r="B19" s="4"/>
      <c r="C19" s="7"/>
      <c r="D19" s="16" t="s">
        <v>501</v>
      </c>
      <c r="E19" s="18" t="s">
        <v>502</v>
      </c>
      <c r="F19" s="287" t="s">
        <v>491</v>
      </c>
      <c r="G19" s="287" t="s">
        <v>490</v>
      </c>
      <c r="H19" s="287" t="s">
        <v>489</v>
      </c>
      <c r="I19" s="287" t="s">
        <v>491</v>
      </c>
      <c r="J19" s="287" t="s">
        <v>491</v>
      </c>
      <c r="K19" s="287" t="s">
        <v>491</v>
      </c>
      <c r="L19" s="287" t="s">
        <v>491</v>
      </c>
      <c r="M19" s="287" t="s">
        <v>491</v>
      </c>
      <c r="N19" s="287" t="s">
        <v>491</v>
      </c>
      <c r="O19" s="287" t="s">
        <v>492</v>
      </c>
      <c r="P19" s="287" t="s">
        <v>491</v>
      </c>
      <c r="Q19" s="287" t="s">
        <v>492</v>
      </c>
      <c r="R19" s="7"/>
      <c r="S19" s="4"/>
    </row>
    <row r="20" spans="1:19" ht="29.1">
      <c r="A20" s="4"/>
      <c r="B20" s="4"/>
      <c r="C20" s="7"/>
      <c r="D20" s="16" t="s">
        <v>503</v>
      </c>
      <c r="E20" s="18" t="s">
        <v>504</v>
      </c>
      <c r="F20" s="287" t="s">
        <v>489</v>
      </c>
      <c r="G20" s="287" t="s">
        <v>490</v>
      </c>
      <c r="H20" s="287" t="s">
        <v>491</v>
      </c>
      <c r="I20" s="287" t="s">
        <v>491</v>
      </c>
      <c r="J20" s="287" t="s">
        <v>492</v>
      </c>
      <c r="K20" s="287" t="s">
        <v>491</v>
      </c>
      <c r="L20" s="287" t="s">
        <v>491</v>
      </c>
      <c r="M20" s="287" t="s">
        <v>491</v>
      </c>
      <c r="N20" s="287" t="s">
        <v>491</v>
      </c>
      <c r="O20" s="287" t="s">
        <v>492</v>
      </c>
      <c r="P20" s="287" t="s">
        <v>491</v>
      </c>
      <c r="Q20" s="287" t="s">
        <v>492</v>
      </c>
      <c r="R20" s="7"/>
      <c r="S20" s="4"/>
    </row>
    <row r="21" spans="1:19" ht="18.600000000000001">
      <c r="A21" s="4"/>
      <c r="B21" s="4"/>
      <c r="C21" s="7"/>
      <c r="D21" s="16" t="s">
        <v>505</v>
      </c>
      <c r="E21" s="18" t="s">
        <v>506</v>
      </c>
      <c r="F21" s="287" t="s">
        <v>492</v>
      </c>
      <c r="G21" s="287" t="s">
        <v>489</v>
      </c>
      <c r="H21" s="287" t="s">
        <v>492</v>
      </c>
      <c r="I21" s="287" t="s">
        <v>492</v>
      </c>
      <c r="J21" s="287" t="s">
        <v>492</v>
      </c>
      <c r="K21" s="287" t="s">
        <v>490</v>
      </c>
      <c r="L21" s="287" t="s">
        <v>492</v>
      </c>
      <c r="M21" s="287" t="s">
        <v>492</v>
      </c>
      <c r="N21" s="287" t="s">
        <v>492</v>
      </c>
      <c r="O21" s="287" t="s">
        <v>492</v>
      </c>
      <c r="P21" s="287" t="s">
        <v>492</v>
      </c>
      <c r="Q21" s="287" t="s">
        <v>492</v>
      </c>
      <c r="R21" s="7"/>
      <c r="S21" s="4"/>
    </row>
    <row r="22" spans="1:19" ht="18.600000000000001">
      <c r="A22" s="4"/>
      <c r="B22" s="4"/>
      <c r="C22" s="7"/>
      <c r="D22" s="16" t="s">
        <v>507</v>
      </c>
      <c r="E22" s="18" t="s">
        <v>508</v>
      </c>
      <c r="F22" s="287" t="s">
        <v>489</v>
      </c>
      <c r="G22" s="287" t="s">
        <v>490</v>
      </c>
      <c r="H22" s="287" t="s">
        <v>491</v>
      </c>
      <c r="I22" s="287" t="s">
        <v>491</v>
      </c>
      <c r="J22" s="287" t="s">
        <v>491</v>
      </c>
      <c r="K22" s="287" t="s">
        <v>491</v>
      </c>
      <c r="L22" s="287" t="s">
        <v>491</v>
      </c>
      <c r="M22" s="287" t="s">
        <v>491</v>
      </c>
      <c r="N22" s="287" t="s">
        <v>491</v>
      </c>
      <c r="O22" s="287" t="s">
        <v>491</v>
      </c>
      <c r="P22" s="287" t="s">
        <v>491</v>
      </c>
      <c r="Q22" s="287" t="s">
        <v>489</v>
      </c>
      <c r="R22" s="7"/>
      <c r="S22" s="4"/>
    </row>
    <row r="23" spans="1:19" ht="29.1">
      <c r="A23" s="4"/>
      <c r="B23" s="4"/>
      <c r="C23" s="7"/>
      <c r="D23" s="16" t="s">
        <v>509</v>
      </c>
      <c r="E23" s="18" t="s">
        <v>510</v>
      </c>
      <c r="F23" s="287" t="s">
        <v>489</v>
      </c>
      <c r="G23" s="287" t="s">
        <v>490</v>
      </c>
      <c r="H23" s="287" t="s">
        <v>492</v>
      </c>
      <c r="I23" s="287" t="s">
        <v>492</v>
      </c>
      <c r="J23" s="287" t="s">
        <v>492</v>
      </c>
      <c r="K23" s="287" t="s">
        <v>491</v>
      </c>
      <c r="L23" s="287" t="s">
        <v>491</v>
      </c>
      <c r="M23" s="287" t="s">
        <v>491</v>
      </c>
      <c r="N23" s="287" t="s">
        <v>491</v>
      </c>
      <c r="O23" s="287" t="s">
        <v>491</v>
      </c>
      <c r="P23" s="287" t="s">
        <v>491</v>
      </c>
      <c r="Q23" s="287" t="s">
        <v>492</v>
      </c>
      <c r="R23" s="7"/>
      <c r="S23" s="4"/>
    </row>
    <row r="24" spans="1:19" ht="18.600000000000001">
      <c r="A24" s="4"/>
      <c r="B24" s="4"/>
      <c r="C24" s="7"/>
      <c r="D24" s="16" t="s">
        <v>511</v>
      </c>
      <c r="E24" s="18" t="s">
        <v>512</v>
      </c>
      <c r="F24" s="287" t="s">
        <v>489</v>
      </c>
      <c r="G24" s="287" t="s">
        <v>490</v>
      </c>
      <c r="H24" s="287" t="s">
        <v>491</v>
      </c>
      <c r="I24" s="287" t="s">
        <v>491</v>
      </c>
      <c r="J24" s="287" t="s">
        <v>491</v>
      </c>
      <c r="K24" s="287" t="s">
        <v>491</v>
      </c>
      <c r="L24" s="287" t="s">
        <v>491</v>
      </c>
      <c r="M24" s="287" t="s">
        <v>491</v>
      </c>
      <c r="N24" s="287" t="s">
        <v>491</v>
      </c>
      <c r="O24" s="287" t="s">
        <v>491</v>
      </c>
      <c r="P24" s="287" t="s">
        <v>491</v>
      </c>
      <c r="Q24" s="287" t="s">
        <v>492</v>
      </c>
      <c r="R24" s="7"/>
      <c r="S24" s="4"/>
    </row>
    <row r="25" spans="1:19" ht="18.600000000000001">
      <c r="A25" s="4"/>
      <c r="B25" s="4"/>
      <c r="C25" s="7"/>
      <c r="D25" s="16" t="s">
        <v>513</v>
      </c>
      <c r="E25" s="18" t="s">
        <v>514</v>
      </c>
      <c r="F25" s="287" t="s">
        <v>489</v>
      </c>
      <c r="G25" s="287" t="s">
        <v>490</v>
      </c>
      <c r="H25" s="287" t="s">
        <v>491</v>
      </c>
      <c r="I25" s="287" t="s">
        <v>491</v>
      </c>
      <c r="J25" s="287" t="s">
        <v>491</v>
      </c>
      <c r="K25" s="287" t="s">
        <v>491</v>
      </c>
      <c r="L25" s="287" t="s">
        <v>491</v>
      </c>
      <c r="M25" s="287" t="s">
        <v>491</v>
      </c>
      <c r="N25" s="287" t="s">
        <v>491</v>
      </c>
      <c r="O25" s="287" t="s">
        <v>491</v>
      </c>
      <c r="P25" s="287" t="s">
        <v>491</v>
      </c>
      <c r="Q25" s="287" t="s">
        <v>492</v>
      </c>
      <c r="R25" s="7"/>
      <c r="S25" s="4"/>
    </row>
    <row r="26" spans="1:19" ht="18.600000000000001">
      <c r="A26" s="4"/>
      <c r="B26" s="4"/>
      <c r="C26" s="7"/>
      <c r="D26" s="16" t="s">
        <v>515</v>
      </c>
      <c r="E26" s="18" t="s">
        <v>516</v>
      </c>
      <c r="F26" s="287" t="s">
        <v>489</v>
      </c>
      <c r="G26" s="287" t="s">
        <v>490</v>
      </c>
      <c r="H26" s="287" t="s">
        <v>491</v>
      </c>
      <c r="I26" s="287" t="s">
        <v>492</v>
      </c>
      <c r="J26" s="287" t="s">
        <v>491</v>
      </c>
      <c r="K26" s="287" t="s">
        <v>491</v>
      </c>
      <c r="L26" s="287" t="s">
        <v>491</v>
      </c>
      <c r="M26" s="287" t="s">
        <v>491</v>
      </c>
      <c r="N26" s="287" t="s">
        <v>491</v>
      </c>
      <c r="O26" s="287" t="s">
        <v>492</v>
      </c>
      <c r="P26" s="287" t="s">
        <v>491</v>
      </c>
      <c r="Q26" s="287" t="s">
        <v>492</v>
      </c>
      <c r="R26" s="7"/>
      <c r="S26" s="4"/>
    </row>
    <row r="27" spans="1:19" ht="43.5">
      <c r="A27" s="4"/>
      <c r="B27" s="4"/>
      <c r="C27" s="7"/>
      <c r="D27" s="16" t="s">
        <v>517</v>
      </c>
      <c r="E27" s="18" t="s">
        <v>518</v>
      </c>
      <c r="F27" s="287" t="s">
        <v>492</v>
      </c>
      <c r="G27" s="287" t="s">
        <v>489</v>
      </c>
      <c r="H27" s="287" t="s">
        <v>492</v>
      </c>
      <c r="I27" s="287" t="s">
        <v>492</v>
      </c>
      <c r="J27" s="287" t="s">
        <v>492</v>
      </c>
      <c r="K27" s="287" t="s">
        <v>490</v>
      </c>
      <c r="L27" s="287" t="s">
        <v>491</v>
      </c>
      <c r="M27" s="287" t="s">
        <v>491</v>
      </c>
      <c r="N27" s="287" t="s">
        <v>491</v>
      </c>
      <c r="O27" s="287" t="s">
        <v>491</v>
      </c>
      <c r="P27" s="287" t="s">
        <v>491</v>
      </c>
      <c r="Q27" s="287" t="s">
        <v>492</v>
      </c>
      <c r="R27" s="7"/>
      <c r="S27" s="4"/>
    </row>
    <row r="28" spans="1:19" ht="29.1">
      <c r="A28" s="4"/>
      <c r="B28" s="4"/>
      <c r="C28" s="7"/>
      <c r="D28" s="16" t="s">
        <v>519</v>
      </c>
      <c r="E28" s="18" t="s">
        <v>520</v>
      </c>
      <c r="F28" s="287" t="s">
        <v>489</v>
      </c>
      <c r="G28" s="287" t="s">
        <v>490</v>
      </c>
      <c r="H28" s="287" t="s">
        <v>491</v>
      </c>
      <c r="I28" s="287" t="s">
        <v>492</v>
      </c>
      <c r="J28" s="287" t="s">
        <v>492</v>
      </c>
      <c r="K28" s="287" t="s">
        <v>491</v>
      </c>
      <c r="L28" s="287" t="s">
        <v>491</v>
      </c>
      <c r="M28" s="287" t="s">
        <v>491</v>
      </c>
      <c r="N28" s="287" t="s">
        <v>491</v>
      </c>
      <c r="O28" s="287" t="s">
        <v>492</v>
      </c>
      <c r="P28" s="287" t="s">
        <v>491</v>
      </c>
      <c r="Q28" s="287" t="s">
        <v>492</v>
      </c>
      <c r="R28" s="7"/>
      <c r="S28" s="4"/>
    </row>
    <row r="29" spans="1:19" ht="29.1">
      <c r="A29" s="4"/>
      <c r="B29" s="4"/>
      <c r="C29" s="7"/>
      <c r="D29" s="16" t="s">
        <v>521</v>
      </c>
      <c r="E29" s="18" t="s">
        <v>522</v>
      </c>
      <c r="F29" s="287" t="s">
        <v>492</v>
      </c>
      <c r="G29" s="287" t="s">
        <v>489</v>
      </c>
      <c r="H29" s="287" t="s">
        <v>492</v>
      </c>
      <c r="I29" s="287" t="s">
        <v>492</v>
      </c>
      <c r="J29" s="287" t="s">
        <v>492</v>
      </c>
      <c r="K29" s="287" t="s">
        <v>490</v>
      </c>
      <c r="L29" s="287" t="s">
        <v>492</v>
      </c>
      <c r="M29" s="287" t="s">
        <v>492</v>
      </c>
      <c r="N29" s="287" t="s">
        <v>492</v>
      </c>
      <c r="O29" s="287" t="s">
        <v>492</v>
      </c>
      <c r="P29" s="287" t="s">
        <v>492</v>
      </c>
      <c r="Q29" s="287" t="s">
        <v>492</v>
      </c>
      <c r="R29" s="7"/>
      <c r="S29" s="4"/>
    </row>
    <row r="30" spans="1:19" ht="18.600000000000001">
      <c r="A30" s="4"/>
      <c r="B30" s="4"/>
      <c r="C30" s="7"/>
      <c r="D30" s="16" t="s">
        <v>523</v>
      </c>
      <c r="E30" s="18" t="s">
        <v>524</v>
      </c>
      <c r="F30" s="287" t="s">
        <v>489</v>
      </c>
      <c r="G30" s="287" t="s">
        <v>490</v>
      </c>
      <c r="H30" s="287" t="s">
        <v>491</v>
      </c>
      <c r="I30" s="287" t="s">
        <v>492</v>
      </c>
      <c r="J30" s="287" t="s">
        <v>492</v>
      </c>
      <c r="K30" s="287" t="s">
        <v>492</v>
      </c>
      <c r="L30" s="287" t="s">
        <v>491</v>
      </c>
      <c r="M30" s="287" t="s">
        <v>492</v>
      </c>
      <c r="N30" s="287" t="s">
        <v>492</v>
      </c>
      <c r="O30" s="287" t="s">
        <v>492</v>
      </c>
      <c r="P30" s="287" t="s">
        <v>491</v>
      </c>
      <c r="Q30" s="287" t="s">
        <v>492</v>
      </c>
      <c r="R30" s="7"/>
      <c r="S30" s="4"/>
    </row>
    <row r="31" spans="1:19" ht="18.600000000000001">
      <c r="A31" s="4"/>
      <c r="B31" s="4"/>
      <c r="C31" s="7"/>
      <c r="D31" s="16" t="s">
        <v>525</v>
      </c>
      <c r="E31" s="18" t="s">
        <v>526</v>
      </c>
      <c r="F31" s="287" t="s">
        <v>491</v>
      </c>
      <c r="G31" s="287" t="s">
        <v>490</v>
      </c>
      <c r="H31" s="287" t="s">
        <v>491</v>
      </c>
      <c r="I31" s="287" t="s">
        <v>489</v>
      </c>
      <c r="J31" s="287" t="s">
        <v>491</v>
      </c>
      <c r="K31" s="287" t="s">
        <v>492</v>
      </c>
      <c r="L31" s="287" t="s">
        <v>492</v>
      </c>
      <c r="M31" s="287" t="s">
        <v>492</v>
      </c>
      <c r="N31" s="287" t="s">
        <v>492</v>
      </c>
      <c r="O31" s="287" t="s">
        <v>492</v>
      </c>
      <c r="P31" s="287" t="s">
        <v>491</v>
      </c>
      <c r="Q31" s="287" t="s">
        <v>492</v>
      </c>
      <c r="R31" s="7"/>
      <c r="S31" s="4"/>
    </row>
    <row r="32" spans="1:19" ht="29.1">
      <c r="A32" s="4"/>
      <c r="B32" s="4"/>
      <c r="C32" s="7"/>
      <c r="D32" s="16" t="s">
        <v>527</v>
      </c>
      <c r="E32" s="18" t="s">
        <v>528</v>
      </c>
      <c r="F32" s="287" t="s">
        <v>489</v>
      </c>
      <c r="G32" s="287" t="s">
        <v>490</v>
      </c>
      <c r="H32" s="287" t="s">
        <v>491</v>
      </c>
      <c r="I32" s="287" t="s">
        <v>491</v>
      </c>
      <c r="J32" s="287" t="s">
        <v>491</v>
      </c>
      <c r="K32" s="287" t="s">
        <v>492</v>
      </c>
      <c r="L32" s="287" t="s">
        <v>491</v>
      </c>
      <c r="M32" s="287" t="s">
        <v>491</v>
      </c>
      <c r="N32" s="287" t="s">
        <v>492</v>
      </c>
      <c r="O32" s="287" t="s">
        <v>492</v>
      </c>
      <c r="P32" s="287" t="s">
        <v>491</v>
      </c>
      <c r="Q32" s="287" t="s">
        <v>492</v>
      </c>
      <c r="R32" s="7"/>
      <c r="S32" s="4"/>
    </row>
    <row r="33" spans="1:19" ht="18.600000000000001">
      <c r="A33" s="4"/>
      <c r="B33" s="4"/>
      <c r="C33" s="7"/>
      <c r="D33" s="16" t="s">
        <v>529</v>
      </c>
      <c r="E33" s="18" t="s">
        <v>530</v>
      </c>
      <c r="F33" s="287" t="s">
        <v>489</v>
      </c>
      <c r="G33" s="287" t="s">
        <v>490</v>
      </c>
      <c r="H33" s="287" t="s">
        <v>491</v>
      </c>
      <c r="I33" s="287" t="s">
        <v>491</v>
      </c>
      <c r="J33" s="287" t="s">
        <v>491</v>
      </c>
      <c r="K33" s="287" t="s">
        <v>492</v>
      </c>
      <c r="L33" s="287" t="s">
        <v>491</v>
      </c>
      <c r="M33" s="287" t="s">
        <v>491</v>
      </c>
      <c r="N33" s="287" t="s">
        <v>492</v>
      </c>
      <c r="O33" s="287" t="s">
        <v>492</v>
      </c>
      <c r="P33" s="287" t="s">
        <v>491</v>
      </c>
      <c r="Q33" s="287" t="s">
        <v>492</v>
      </c>
      <c r="R33" s="7"/>
      <c r="S33" s="4"/>
    </row>
    <row r="34" spans="1:19" ht="29.1">
      <c r="A34" s="4"/>
      <c r="B34" s="4"/>
      <c r="C34" s="7"/>
      <c r="D34" s="16" t="s">
        <v>531</v>
      </c>
      <c r="E34" s="18" t="s">
        <v>532</v>
      </c>
      <c r="F34" s="287" t="s">
        <v>489</v>
      </c>
      <c r="G34" s="287" t="s">
        <v>490</v>
      </c>
      <c r="H34" s="287" t="s">
        <v>492</v>
      </c>
      <c r="I34" s="287" t="s">
        <v>492</v>
      </c>
      <c r="J34" s="287" t="s">
        <v>491</v>
      </c>
      <c r="K34" s="287" t="s">
        <v>492</v>
      </c>
      <c r="L34" s="287" t="s">
        <v>492</v>
      </c>
      <c r="M34" s="287" t="s">
        <v>492</v>
      </c>
      <c r="N34" s="287" t="s">
        <v>492</v>
      </c>
      <c r="O34" s="287" t="s">
        <v>492</v>
      </c>
      <c r="P34" s="287" t="s">
        <v>491</v>
      </c>
      <c r="Q34" s="287" t="s">
        <v>492</v>
      </c>
      <c r="R34" s="7"/>
      <c r="S34" s="4"/>
    </row>
    <row r="35" spans="1:19" ht="18.600000000000001">
      <c r="A35" s="4"/>
      <c r="B35" s="4"/>
      <c r="C35" s="7"/>
      <c r="D35" s="16" t="s">
        <v>533</v>
      </c>
      <c r="E35" s="18" t="s">
        <v>534</v>
      </c>
      <c r="F35" s="287" t="s">
        <v>489</v>
      </c>
      <c r="G35" s="287" t="s">
        <v>490</v>
      </c>
      <c r="H35" s="287" t="s">
        <v>491</v>
      </c>
      <c r="I35" s="287" t="s">
        <v>491</v>
      </c>
      <c r="J35" s="287" t="s">
        <v>491</v>
      </c>
      <c r="K35" s="287" t="s">
        <v>491</v>
      </c>
      <c r="L35" s="287" t="s">
        <v>491</v>
      </c>
      <c r="M35" s="287" t="s">
        <v>491</v>
      </c>
      <c r="N35" s="287" t="s">
        <v>491</v>
      </c>
      <c r="O35" s="287" t="s">
        <v>491</v>
      </c>
      <c r="P35" s="287" t="s">
        <v>491</v>
      </c>
      <c r="Q35" s="287" t="s">
        <v>492</v>
      </c>
      <c r="R35" s="7"/>
      <c r="S35" s="4"/>
    </row>
    <row r="36" spans="1:19" ht="18.600000000000001">
      <c r="A36" s="4"/>
      <c r="B36" s="4"/>
      <c r="C36" s="7"/>
      <c r="D36" s="16" t="s">
        <v>535</v>
      </c>
      <c r="E36" s="18" t="s">
        <v>536</v>
      </c>
      <c r="F36" s="287" t="s">
        <v>489</v>
      </c>
      <c r="G36" s="287" t="s">
        <v>490</v>
      </c>
      <c r="H36" s="287" t="s">
        <v>491</v>
      </c>
      <c r="I36" s="287" t="s">
        <v>492</v>
      </c>
      <c r="J36" s="287" t="s">
        <v>491</v>
      </c>
      <c r="K36" s="287" t="s">
        <v>491</v>
      </c>
      <c r="L36" s="287" t="s">
        <v>491</v>
      </c>
      <c r="M36" s="287" t="s">
        <v>492</v>
      </c>
      <c r="N36" s="287" t="s">
        <v>492</v>
      </c>
      <c r="O36" s="287" t="s">
        <v>492</v>
      </c>
      <c r="P36" s="287" t="s">
        <v>489</v>
      </c>
      <c r="Q36" s="287" t="s">
        <v>492</v>
      </c>
      <c r="R36" s="7"/>
      <c r="S36" s="4"/>
    </row>
    <row r="37" spans="1:19" ht="18.600000000000001">
      <c r="A37" s="4"/>
      <c r="B37" s="4"/>
      <c r="C37" s="7"/>
      <c r="D37" s="16" t="s">
        <v>537</v>
      </c>
      <c r="E37" s="18" t="s">
        <v>538</v>
      </c>
      <c r="F37" s="287" t="s">
        <v>489</v>
      </c>
      <c r="G37" s="287" t="s">
        <v>490</v>
      </c>
      <c r="H37" s="287" t="s">
        <v>492</v>
      </c>
      <c r="I37" s="287" t="s">
        <v>492</v>
      </c>
      <c r="J37" s="287" t="s">
        <v>492</v>
      </c>
      <c r="K37" s="287" t="s">
        <v>492</v>
      </c>
      <c r="L37" s="287" t="s">
        <v>492</v>
      </c>
      <c r="M37" s="287" t="s">
        <v>492</v>
      </c>
      <c r="N37" s="287" t="s">
        <v>492</v>
      </c>
      <c r="O37" s="287" t="s">
        <v>489</v>
      </c>
      <c r="P37" s="287" t="s">
        <v>491</v>
      </c>
      <c r="Q37" s="287" t="s">
        <v>492</v>
      </c>
      <c r="R37" s="7"/>
      <c r="S37" s="4"/>
    </row>
    <row r="38" spans="1:19" ht="29.1">
      <c r="A38" s="4"/>
      <c r="B38" s="4"/>
      <c r="C38" s="7"/>
      <c r="D38" s="16" t="s">
        <v>539</v>
      </c>
      <c r="E38" s="18" t="s">
        <v>540</v>
      </c>
      <c r="F38" s="287" t="s">
        <v>489</v>
      </c>
      <c r="G38" s="287" t="s">
        <v>490</v>
      </c>
      <c r="H38" s="287" t="s">
        <v>491</v>
      </c>
      <c r="I38" s="287" t="s">
        <v>492</v>
      </c>
      <c r="J38" s="287" t="s">
        <v>492</v>
      </c>
      <c r="K38" s="287" t="s">
        <v>491</v>
      </c>
      <c r="L38" s="287" t="s">
        <v>491</v>
      </c>
      <c r="M38" s="287" t="s">
        <v>492</v>
      </c>
      <c r="N38" s="287" t="s">
        <v>491</v>
      </c>
      <c r="O38" s="287" t="s">
        <v>489</v>
      </c>
      <c r="P38" s="287" t="s">
        <v>491</v>
      </c>
      <c r="Q38" s="287" t="s">
        <v>492</v>
      </c>
      <c r="R38" s="7"/>
      <c r="S38" s="4"/>
    </row>
    <row r="39" spans="1:19" ht="43.5">
      <c r="A39" s="4"/>
      <c r="B39" s="4"/>
      <c r="C39" s="7"/>
      <c r="D39" s="16" t="s">
        <v>541</v>
      </c>
      <c r="E39" s="18" t="s">
        <v>542</v>
      </c>
      <c r="F39" s="287" t="s">
        <v>489</v>
      </c>
      <c r="G39" s="287" t="s">
        <v>491</v>
      </c>
      <c r="H39" s="287" t="s">
        <v>492</v>
      </c>
      <c r="I39" s="287" t="s">
        <v>492</v>
      </c>
      <c r="J39" s="287" t="s">
        <v>492</v>
      </c>
      <c r="K39" s="287" t="s">
        <v>492</v>
      </c>
      <c r="L39" s="287" t="s">
        <v>492</v>
      </c>
      <c r="M39" s="287" t="s">
        <v>490</v>
      </c>
      <c r="N39" s="287" t="s">
        <v>492</v>
      </c>
      <c r="O39" s="287" t="s">
        <v>492</v>
      </c>
      <c r="P39" s="287" t="s">
        <v>491</v>
      </c>
      <c r="Q39" s="287" t="s">
        <v>492</v>
      </c>
      <c r="R39" s="7"/>
      <c r="S39" s="4"/>
    </row>
    <row r="40" spans="1:19" ht="18.600000000000001">
      <c r="A40" s="4"/>
      <c r="B40" s="4"/>
      <c r="C40" s="7"/>
      <c r="D40" s="16" t="s">
        <v>543</v>
      </c>
      <c r="E40" s="18" t="s">
        <v>544</v>
      </c>
      <c r="F40" s="287" t="s">
        <v>489</v>
      </c>
      <c r="G40" s="287" t="s">
        <v>490</v>
      </c>
      <c r="H40" s="287" t="s">
        <v>491</v>
      </c>
      <c r="I40" s="287" t="s">
        <v>491</v>
      </c>
      <c r="J40" s="287" t="s">
        <v>491</v>
      </c>
      <c r="K40" s="287" t="s">
        <v>491</v>
      </c>
      <c r="L40" s="287" t="s">
        <v>491</v>
      </c>
      <c r="M40" s="287" t="s">
        <v>492</v>
      </c>
      <c r="N40" s="287" t="s">
        <v>492</v>
      </c>
      <c r="O40" s="287" t="s">
        <v>492</v>
      </c>
      <c r="P40" s="287" t="s">
        <v>491</v>
      </c>
      <c r="Q40" s="287" t="s">
        <v>492</v>
      </c>
      <c r="R40" s="7"/>
      <c r="S40" s="4"/>
    </row>
    <row r="41" spans="1:19" ht="43.5">
      <c r="A41" s="4"/>
      <c r="B41" s="4"/>
      <c r="C41" s="7"/>
      <c r="D41" s="16" t="s">
        <v>545</v>
      </c>
      <c r="E41" s="18" t="s">
        <v>546</v>
      </c>
      <c r="F41" s="287" t="s">
        <v>491</v>
      </c>
      <c r="G41" s="287" t="s">
        <v>491</v>
      </c>
      <c r="H41" s="287" t="s">
        <v>492</v>
      </c>
      <c r="I41" s="287" t="s">
        <v>492</v>
      </c>
      <c r="J41" s="287" t="s">
        <v>492</v>
      </c>
      <c r="K41" s="287" t="s">
        <v>490</v>
      </c>
      <c r="L41" s="287" t="s">
        <v>489</v>
      </c>
      <c r="M41" s="287" t="s">
        <v>491</v>
      </c>
      <c r="N41" s="287" t="s">
        <v>491</v>
      </c>
      <c r="O41" s="287" t="s">
        <v>491</v>
      </c>
      <c r="P41" s="287" t="s">
        <v>491</v>
      </c>
      <c r="Q41" s="287" t="s">
        <v>492</v>
      </c>
      <c r="R41" s="7"/>
      <c r="S41" s="4"/>
    </row>
    <row r="42" spans="1:19" ht="29.1">
      <c r="A42" s="4"/>
      <c r="B42" s="4"/>
      <c r="C42" s="7"/>
      <c r="D42" s="16" t="s">
        <v>547</v>
      </c>
      <c r="E42" s="18" t="s">
        <v>548</v>
      </c>
      <c r="F42" s="287" t="s">
        <v>491</v>
      </c>
      <c r="G42" s="287" t="s">
        <v>491</v>
      </c>
      <c r="H42" s="287" t="s">
        <v>491</v>
      </c>
      <c r="I42" s="287" t="s">
        <v>491</v>
      </c>
      <c r="J42" s="287" t="s">
        <v>491</v>
      </c>
      <c r="K42" s="287" t="s">
        <v>490</v>
      </c>
      <c r="L42" s="287" t="s">
        <v>489</v>
      </c>
      <c r="M42" s="287" t="s">
        <v>491</v>
      </c>
      <c r="N42" s="287" t="s">
        <v>491</v>
      </c>
      <c r="O42" s="287" t="s">
        <v>491</v>
      </c>
      <c r="P42" s="287" t="s">
        <v>491</v>
      </c>
      <c r="Q42" s="287" t="s">
        <v>492</v>
      </c>
      <c r="R42" s="7"/>
      <c r="S42" s="4"/>
    </row>
    <row r="43" spans="1:19" ht="29.1">
      <c r="A43" s="4"/>
      <c r="B43" s="4"/>
      <c r="C43" s="7"/>
      <c r="D43" s="16" t="s">
        <v>549</v>
      </c>
      <c r="E43" s="18" t="s">
        <v>550</v>
      </c>
      <c r="F43" s="287" t="s">
        <v>491</v>
      </c>
      <c r="G43" s="287" t="s">
        <v>491</v>
      </c>
      <c r="H43" s="287" t="s">
        <v>491</v>
      </c>
      <c r="I43" s="287" t="s">
        <v>491</v>
      </c>
      <c r="J43" s="287" t="s">
        <v>491</v>
      </c>
      <c r="K43" s="287" t="s">
        <v>490</v>
      </c>
      <c r="L43" s="287" t="s">
        <v>489</v>
      </c>
      <c r="M43" s="287" t="s">
        <v>491</v>
      </c>
      <c r="N43" s="287" t="s">
        <v>491</v>
      </c>
      <c r="O43" s="287" t="s">
        <v>491</v>
      </c>
      <c r="P43" s="287" t="s">
        <v>491</v>
      </c>
      <c r="Q43" s="287" t="s">
        <v>492</v>
      </c>
      <c r="R43" s="7"/>
      <c r="S43" s="4"/>
    </row>
    <row r="44" spans="1:19" ht="29.1">
      <c r="A44" s="4"/>
      <c r="B44" s="4"/>
      <c r="C44" s="7"/>
      <c r="D44" s="16" t="s">
        <v>551</v>
      </c>
      <c r="E44" s="18" t="s">
        <v>552</v>
      </c>
      <c r="F44" s="287" t="s">
        <v>491</v>
      </c>
      <c r="G44" s="287" t="s">
        <v>491</v>
      </c>
      <c r="H44" s="287" t="s">
        <v>491</v>
      </c>
      <c r="I44" s="287" t="s">
        <v>491</v>
      </c>
      <c r="J44" s="287" t="s">
        <v>491</v>
      </c>
      <c r="K44" s="287" t="s">
        <v>490</v>
      </c>
      <c r="L44" s="287" t="s">
        <v>489</v>
      </c>
      <c r="M44" s="287" t="s">
        <v>491</v>
      </c>
      <c r="N44" s="287" t="s">
        <v>491</v>
      </c>
      <c r="O44" s="287" t="s">
        <v>491</v>
      </c>
      <c r="P44" s="287" t="s">
        <v>491</v>
      </c>
      <c r="Q44" s="287" t="s">
        <v>492</v>
      </c>
      <c r="R44" s="7"/>
      <c r="S44" s="4"/>
    </row>
    <row r="45" spans="1:19" ht="18.600000000000001">
      <c r="A45" s="4"/>
      <c r="B45" s="4"/>
      <c r="C45" s="7"/>
      <c r="D45" s="16" t="s">
        <v>553</v>
      </c>
      <c r="E45" s="18" t="s">
        <v>554</v>
      </c>
      <c r="F45" s="287" t="s">
        <v>491</v>
      </c>
      <c r="G45" s="287" t="s">
        <v>491</v>
      </c>
      <c r="H45" s="287" t="s">
        <v>491</v>
      </c>
      <c r="I45" s="287" t="s">
        <v>491</v>
      </c>
      <c r="J45" s="287" t="s">
        <v>491</v>
      </c>
      <c r="K45" s="287" t="s">
        <v>490</v>
      </c>
      <c r="L45" s="287" t="s">
        <v>489</v>
      </c>
      <c r="M45" s="287" t="s">
        <v>491</v>
      </c>
      <c r="N45" s="287" t="s">
        <v>491</v>
      </c>
      <c r="O45" s="287" t="s">
        <v>491</v>
      </c>
      <c r="P45" s="287" t="s">
        <v>491</v>
      </c>
      <c r="Q45" s="287" t="s">
        <v>492</v>
      </c>
      <c r="R45" s="7"/>
      <c r="S45" s="4"/>
    </row>
    <row r="46" spans="1:19" ht="29.1">
      <c r="A46" s="4"/>
      <c r="B46" s="4"/>
      <c r="C46" s="7"/>
      <c r="D46" s="16" t="s">
        <v>555</v>
      </c>
      <c r="E46" s="18" t="s">
        <v>556</v>
      </c>
      <c r="F46" s="287" t="s">
        <v>492</v>
      </c>
      <c r="G46" s="287" t="s">
        <v>492</v>
      </c>
      <c r="H46" s="287" t="s">
        <v>492</v>
      </c>
      <c r="I46" s="287" t="s">
        <v>492</v>
      </c>
      <c r="J46" s="287" t="s">
        <v>492</v>
      </c>
      <c r="K46" s="287" t="s">
        <v>490</v>
      </c>
      <c r="L46" s="287" t="s">
        <v>489</v>
      </c>
      <c r="M46" s="287" t="s">
        <v>492</v>
      </c>
      <c r="N46" s="287" t="s">
        <v>492</v>
      </c>
      <c r="O46" s="287" t="s">
        <v>492</v>
      </c>
      <c r="P46" s="287" t="s">
        <v>492</v>
      </c>
      <c r="Q46" s="287" t="s">
        <v>492</v>
      </c>
      <c r="R46" s="7"/>
      <c r="S46" s="4"/>
    </row>
    <row r="47" spans="1:19" ht="18.600000000000001">
      <c r="A47" s="4"/>
      <c r="B47" s="4"/>
      <c r="C47" s="7"/>
      <c r="D47" s="16" t="s">
        <v>557</v>
      </c>
      <c r="E47" s="18" t="s">
        <v>558</v>
      </c>
      <c r="F47" s="287" t="s">
        <v>492</v>
      </c>
      <c r="G47" s="287" t="s">
        <v>492</v>
      </c>
      <c r="H47" s="287" t="s">
        <v>492</v>
      </c>
      <c r="I47" s="287" t="s">
        <v>492</v>
      </c>
      <c r="J47" s="287" t="s">
        <v>492</v>
      </c>
      <c r="K47" s="287" t="s">
        <v>490</v>
      </c>
      <c r="L47" s="287" t="s">
        <v>489</v>
      </c>
      <c r="M47" s="287" t="s">
        <v>492</v>
      </c>
      <c r="N47" s="287" t="s">
        <v>492</v>
      </c>
      <c r="O47" s="287" t="s">
        <v>492</v>
      </c>
      <c r="P47" s="287" t="s">
        <v>492</v>
      </c>
      <c r="Q47" s="287" t="s">
        <v>492</v>
      </c>
      <c r="R47" s="7"/>
      <c r="S47" s="4"/>
    </row>
    <row r="48" spans="1:19" ht="18.600000000000001">
      <c r="A48" s="4"/>
      <c r="B48" s="4"/>
      <c r="C48" s="7"/>
      <c r="D48" s="16" t="s">
        <v>559</v>
      </c>
      <c r="E48" s="18" t="s">
        <v>560</v>
      </c>
      <c r="F48" s="287" t="s">
        <v>491</v>
      </c>
      <c r="G48" s="287" t="s">
        <v>491</v>
      </c>
      <c r="H48" s="287" t="s">
        <v>491</v>
      </c>
      <c r="I48" s="287" t="s">
        <v>491</v>
      </c>
      <c r="J48" s="287" t="s">
        <v>491</v>
      </c>
      <c r="K48" s="287" t="s">
        <v>490</v>
      </c>
      <c r="L48" s="287" t="s">
        <v>491</v>
      </c>
      <c r="M48" s="287" t="s">
        <v>491</v>
      </c>
      <c r="N48" s="287" t="s">
        <v>491</v>
      </c>
      <c r="O48" s="287" t="s">
        <v>491</v>
      </c>
      <c r="P48" s="287" t="s">
        <v>491</v>
      </c>
      <c r="Q48" s="287" t="s">
        <v>489</v>
      </c>
      <c r="R48" s="7"/>
      <c r="S48" s="4"/>
    </row>
    <row r="49" spans="1:19" ht="18.600000000000001">
      <c r="A49" s="4"/>
      <c r="B49" s="4"/>
      <c r="C49" s="7"/>
      <c r="D49" s="16" t="s">
        <v>561</v>
      </c>
      <c r="E49" s="18" t="s">
        <v>562</v>
      </c>
      <c r="F49" s="287" t="s">
        <v>491</v>
      </c>
      <c r="G49" s="287" t="s">
        <v>491</v>
      </c>
      <c r="H49" s="287" t="s">
        <v>491</v>
      </c>
      <c r="I49" s="287" t="s">
        <v>491</v>
      </c>
      <c r="J49" s="287" t="s">
        <v>491</v>
      </c>
      <c r="K49" s="287" t="s">
        <v>490</v>
      </c>
      <c r="L49" s="287" t="s">
        <v>489</v>
      </c>
      <c r="M49" s="287" t="s">
        <v>491</v>
      </c>
      <c r="N49" s="287" t="s">
        <v>491</v>
      </c>
      <c r="O49" s="287" t="s">
        <v>491</v>
      </c>
      <c r="P49" s="287" t="s">
        <v>491</v>
      </c>
      <c r="Q49" s="287" t="s">
        <v>492</v>
      </c>
      <c r="R49" s="7"/>
      <c r="S49" s="4"/>
    </row>
    <row r="50" spans="1:19" ht="18.600000000000001">
      <c r="A50" s="4"/>
      <c r="B50" s="4"/>
      <c r="C50" s="7"/>
      <c r="D50" s="16" t="s">
        <v>563</v>
      </c>
      <c r="E50" s="18" t="s">
        <v>564</v>
      </c>
      <c r="F50" s="287" t="s">
        <v>491</v>
      </c>
      <c r="G50" s="287" t="s">
        <v>491</v>
      </c>
      <c r="H50" s="287" t="s">
        <v>491</v>
      </c>
      <c r="I50" s="287" t="s">
        <v>491</v>
      </c>
      <c r="J50" s="287" t="s">
        <v>491</v>
      </c>
      <c r="K50" s="287" t="s">
        <v>490</v>
      </c>
      <c r="L50" s="287" t="s">
        <v>489</v>
      </c>
      <c r="M50" s="287" t="s">
        <v>491</v>
      </c>
      <c r="N50" s="287" t="s">
        <v>491</v>
      </c>
      <c r="O50" s="287" t="s">
        <v>491</v>
      </c>
      <c r="P50" s="287" t="s">
        <v>491</v>
      </c>
      <c r="Q50" s="287" t="s">
        <v>492</v>
      </c>
      <c r="R50" s="7"/>
      <c r="S50" s="4"/>
    </row>
    <row r="51" spans="1:19" ht="18.600000000000001">
      <c r="A51" s="4"/>
      <c r="B51" s="4"/>
      <c r="C51" s="7"/>
      <c r="D51" s="16" t="s">
        <v>565</v>
      </c>
      <c r="E51" s="18" t="s">
        <v>566</v>
      </c>
      <c r="F51" s="287" t="s">
        <v>491</v>
      </c>
      <c r="G51" s="287" t="s">
        <v>491</v>
      </c>
      <c r="H51" s="287" t="s">
        <v>491</v>
      </c>
      <c r="I51" s="287" t="s">
        <v>491</v>
      </c>
      <c r="J51" s="287" t="s">
        <v>491</v>
      </c>
      <c r="K51" s="287" t="s">
        <v>490</v>
      </c>
      <c r="L51" s="287" t="s">
        <v>489</v>
      </c>
      <c r="M51" s="287" t="s">
        <v>491</v>
      </c>
      <c r="N51" s="287" t="s">
        <v>491</v>
      </c>
      <c r="O51" s="287" t="s">
        <v>491</v>
      </c>
      <c r="P51" s="287" t="s">
        <v>491</v>
      </c>
      <c r="Q51" s="287" t="s">
        <v>492</v>
      </c>
      <c r="R51" s="7"/>
      <c r="S51" s="4"/>
    </row>
    <row r="52" spans="1:19" ht="29.1">
      <c r="A52" s="4"/>
      <c r="B52" s="4"/>
      <c r="C52" s="7"/>
      <c r="D52" s="16" t="s">
        <v>567</v>
      </c>
      <c r="E52" s="18" t="s">
        <v>568</v>
      </c>
      <c r="F52" s="287" t="s">
        <v>491</v>
      </c>
      <c r="G52" s="287" t="s">
        <v>491</v>
      </c>
      <c r="H52" s="287" t="s">
        <v>492</v>
      </c>
      <c r="I52" s="287" t="s">
        <v>492</v>
      </c>
      <c r="J52" s="287" t="s">
        <v>492</v>
      </c>
      <c r="K52" s="287" t="s">
        <v>490</v>
      </c>
      <c r="L52" s="287" t="s">
        <v>489</v>
      </c>
      <c r="M52" s="287" t="s">
        <v>491</v>
      </c>
      <c r="N52" s="287" t="s">
        <v>491</v>
      </c>
      <c r="O52" s="287" t="s">
        <v>492</v>
      </c>
      <c r="P52" s="287" t="s">
        <v>491</v>
      </c>
      <c r="Q52" s="287" t="s">
        <v>492</v>
      </c>
      <c r="R52" s="7"/>
      <c r="S52" s="4"/>
    </row>
    <row r="53" spans="1:19" ht="43.5">
      <c r="A53" s="4"/>
      <c r="B53" s="4"/>
      <c r="C53" s="7"/>
      <c r="D53" s="16" t="s">
        <v>569</v>
      </c>
      <c r="E53" s="18" t="s">
        <v>570</v>
      </c>
      <c r="F53" s="287" t="s">
        <v>491</v>
      </c>
      <c r="G53" s="287" t="s">
        <v>491</v>
      </c>
      <c r="H53" s="287" t="s">
        <v>491</v>
      </c>
      <c r="I53" s="287" t="s">
        <v>491</v>
      </c>
      <c r="J53" s="287" t="s">
        <v>491</v>
      </c>
      <c r="K53" s="287" t="s">
        <v>490</v>
      </c>
      <c r="L53" s="287" t="s">
        <v>489</v>
      </c>
      <c r="M53" s="287" t="s">
        <v>491</v>
      </c>
      <c r="N53" s="287" t="s">
        <v>491</v>
      </c>
      <c r="O53" s="287" t="s">
        <v>491</v>
      </c>
      <c r="P53" s="287" t="s">
        <v>491</v>
      </c>
      <c r="Q53" s="287" t="s">
        <v>492</v>
      </c>
      <c r="R53" s="7"/>
      <c r="S53" s="4"/>
    </row>
    <row r="54" spans="1:19" ht="29.1">
      <c r="A54" s="4"/>
      <c r="B54" s="4"/>
      <c r="C54" s="7"/>
      <c r="D54" s="16" t="s">
        <v>571</v>
      </c>
      <c r="E54" s="18" t="s">
        <v>572</v>
      </c>
      <c r="F54" s="287" t="s">
        <v>491</v>
      </c>
      <c r="G54" s="287" t="s">
        <v>491</v>
      </c>
      <c r="H54" s="287" t="s">
        <v>491</v>
      </c>
      <c r="I54" s="287" t="s">
        <v>491</v>
      </c>
      <c r="J54" s="287" t="s">
        <v>491</v>
      </c>
      <c r="K54" s="287" t="s">
        <v>490</v>
      </c>
      <c r="L54" s="287" t="s">
        <v>489</v>
      </c>
      <c r="M54" s="287" t="s">
        <v>491</v>
      </c>
      <c r="N54" s="287" t="s">
        <v>491</v>
      </c>
      <c r="O54" s="287" t="s">
        <v>491</v>
      </c>
      <c r="P54" s="287" t="s">
        <v>491</v>
      </c>
      <c r="Q54" s="287" t="s">
        <v>492</v>
      </c>
      <c r="R54" s="7"/>
      <c r="S54" s="4"/>
    </row>
    <row r="55" spans="1:19" ht="43.5">
      <c r="A55" s="4"/>
      <c r="B55" s="4"/>
      <c r="C55" s="7"/>
      <c r="D55" s="16" t="s">
        <v>573</v>
      </c>
      <c r="E55" s="18" t="s">
        <v>574</v>
      </c>
      <c r="F55" s="287" t="s">
        <v>491</v>
      </c>
      <c r="G55" s="287" t="s">
        <v>491</v>
      </c>
      <c r="H55" s="287" t="s">
        <v>491</v>
      </c>
      <c r="I55" s="287" t="s">
        <v>491</v>
      </c>
      <c r="J55" s="287" t="s">
        <v>491</v>
      </c>
      <c r="K55" s="287" t="s">
        <v>490</v>
      </c>
      <c r="L55" s="287" t="s">
        <v>489</v>
      </c>
      <c r="M55" s="287" t="s">
        <v>491</v>
      </c>
      <c r="N55" s="287" t="s">
        <v>491</v>
      </c>
      <c r="O55" s="287" t="s">
        <v>491</v>
      </c>
      <c r="P55" s="287" t="s">
        <v>491</v>
      </c>
      <c r="Q55" s="287" t="s">
        <v>492</v>
      </c>
      <c r="R55" s="7"/>
      <c r="S55" s="4"/>
    </row>
    <row r="56" spans="1:19" ht="18.600000000000001">
      <c r="A56" s="4"/>
      <c r="B56" s="4"/>
      <c r="C56" s="7"/>
      <c r="D56" s="16" t="s">
        <v>575</v>
      </c>
      <c r="E56" s="18" t="s">
        <v>576</v>
      </c>
      <c r="F56" s="287" t="s">
        <v>491</v>
      </c>
      <c r="G56" s="287" t="s">
        <v>491</v>
      </c>
      <c r="H56" s="287" t="s">
        <v>491</v>
      </c>
      <c r="I56" s="287" t="s">
        <v>491</v>
      </c>
      <c r="J56" s="287" t="s">
        <v>491</v>
      </c>
      <c r="K56" s="287" t="s">
        <v>490</v>
      </c>
      <c r="L56" s="287" t="s">
        <v>489</v>
      </c>
      <c r="M56" s="287" t="s">
        <v>491</v>
      </c>
      <c r="N56" s="287" t="s">
        <v>491</v>
      </c>
      <c r="O56" s="287" t="s">
        <v>489</v>
      </c>
      <c r="P56" s="287" t="s">
        <v>491</v>
      </c>
      <c r="Q56" s="287" t="s">
        <v>492</v>
      </c>
      <c r="R56" s="7"/>
      <c r="S56" s="4"/>
    </row>
    <row r="57" spans="1:19" ht="18.600000000000001">
      <c r="A57" s="4"/>
      <c r="B57" s="4"/>
      <c r="C57" s="7"/>
      <c r="D57" s="16" t="s">
        <v>577</v>
      </c>
      <c r="E57" s="18" t="s">
        <v>578</v>
      </c>
      <c r="F57" s="287" t="s">
        <v>491</v>
      </c>
      <c r="G57" s="287" t="s">
        <v>491</v>
      </c>
      <c r="H57" s="287" t="s">
        <v>491</v>
      </c>
      <c r="I57" s="287" t="s">
        <v>491</v>
      </c>
      <c r="J57" s="287" t="s">
        <v>491</v>
      </c>
      <c r="K57" s="287" t="s">
        <v>490</v>
      </c>
      <c r="L57" s="287" t="s">
        <v>489</v>
      </c>
      <c r="M57" s="287" t="s">
        <v>491</v>
      </c>
      <c r="N57" s="287" t="s">
        <v>491</v>
      </c>
      <c r="O57" s="287" t="s">
        <v>489</v>
      </c>
      <c r="P57" s="287" t="s">
        <v>491</v>
      </c>
      <c r="Q57" s="287" t="s">
        <v>492</v>
      </c>
      <c r="R57" s="7"/>
      <c r="S57" s="4"/>
    </row>
    <row r="58" spans="1:19" ht="18.600000000000001">
      <c r="A58" s="4"/>
      <c r="B58" s="4"/>
      <c r="C58" s="7"/>
      <c r="D58" s="16" t="s">
        <v>579</v>
      </c>
      <c r="E58" s="18" t="s">
        <v>580</v>
      </c>
      <c r="F58" s="287" t="s">
        <v>491</v>
      </c>
      <c r="G58" s="287" t="s">
        <v>491</v>
      </c>
      <c r="H58" s="287" t="s">
        <v>489</v>
      </c>
      <c r="I58" s="287" t="s">
        <v>491</v>
      </c>
      <c r="J58" s="287" t="s">
        <v>491</v>
      </c>
      <c r="K58" s="287" t="s">
        <v>490</v>
      </c>
      <c r="L58" s="287" t="s">
        <v>489</v>
      </c>
      <c r="M58" s="287" t="s">
        <v>491</v>
      </c>
      <c r="N58" s="287" t="s">
        <v>491</v>
      </c>
      <c r="O58" s="287" t="s">
        <v>491</v>
      </c>
      <c r="P58" s="287" t="s">
        <v>489</v>
      </c>
      <c r="Q58" s="287" t="s">
        <v>492</v>
      </c>
      <c r="R58" s="7"/>
      <c r="S58" s="4"/>
    </row>
    <row r="59" spans="1:19" ht="29.1">
      <c r="A59" s="4"/>
      <c r="B59" s="4"/>
      <c r="C59" s="7"/>
      <c r="D59" s="16" t="s">
        <v>581</v>
      </c>
      <c r="E59" s="18" t="s">
        <v>582</v>
      </c>
      <c r="F59" s="287" t="s">
        <v>491</v>
      </c>
      <c r="G59" s="287" t="s">
        <v>491</v>
      </c>
      <c r="H59" s="287" t="s">
        <v>491</v>
      </c>
      <c r="I59" s="287" t="s">
        <v>491</v>
      </c>
      <c r="J59" s="287" t="s">
        <v>491</v>
      </c>
      <c r="K59" s="287" t="s">
        <v>490</v>
      </c>
      <c r="L59" s="287" t="s">
        <v>489</v>
      </c>
      <c r="M59" s="287" t="s">
        <v>491</v>
      </c>
      <c r="N59" s="287" t="s">
        <v>491</v>
      </c>
      <c r="O59" s="287" t="s">
        <v>491</v>
      </c>
      <c r="P59" s="287" t="s">
        <v>491</v>
      </c>
      <c r="Q59" s="287" t="s">
        <v>492</v>
      </c>
      <c r="R59" s="7"/>
      <c r="S59" s="4"/>
    </row>
    <row r="60" spans="1:19" ht="18.600000000000001">
      <c r="A60" s="4"/>
      <c r="B60" s="4"/>
      <c r="C60" s="7"/>
      <c r="D60" s="16" t="s">
        <v>583</v>
      </c>
      <c r="E60" s="18" t="s">
        <v>584</v>
      </c>
      <c r="F60" s="287" t="s">
        <v>491</v>
      </c>
      <c r="G60" s="287" t="s">
        <v>491</v>
      </c>
      <c r="H60" s="287" t="s">
        <v>491</v>
      </c>
      <c r="I60" s="287" t="s">
        <v>489</v>
      </c>
      <c r="J60" s="287" t="s">
        <v>491</v>
      </c>
      <c r="K60" s="287" t="s">
        <v>490</v>
      </c>
      <c r="L60" s="287" t="s">
        <v>489</v>
      </c>
      <c r="M60" s="287" t="s">
        <v>491</v>
      </c>
      <c r="N60" s="287" t="s">
        <v>491</v>
      </c>
      <c r="O60" s="287" t="s">
        <v>491</v>
      </c>
      <c r="P60" s="287" t="s">
        <v>491</v>
      </c>
      <c r="Q60" s="287" t="s">
        <v>492</v>
      </c>
      <c r="R60" s="7"/>
      <c r="S60" s="4"/>
    </row>
    <row r="61" spans="1:19" ht="18.600000000000001">
      <c r="A61" s="4"/>
      <c r="B61" s="4"/>
      <c r="C61" s="7"/>
      <c r="D61" s="16" t="s">
        <v>585</v>
      </c>
      <c r="E61" s="18" t="s">
        <v>586</v>
      </c>
      <c r="F61" s="287" t="s">
        <v>491</v>
      </c>
      <c r="G61" s="287" t="s">
        <v>491</v>
      </c>
      <c r="H61" s="287" t="s">
        <v>491</v>
      </c>
      <c r="I61" s="287" t="s">
        <v>491</v>
      </c>
      <c r="J61" s="287" t="s">
        <v>491</v>
      </c>
      <c r="K61" s="287" t="s">
        <v>490</v>
      </c>
      <c r="L61" s="287" t="s">
        <v>489</v>
      </c>
      <c r="M61" s="287" t="s">
        <v>492</v>
      </c>
      <c r="N61" s="287" t="s">
        <v>492</v>
      </c>
      <c r="O61" s="287" t="s">
        <v>492</v>
      </c>
      <c r="P61" s="287" t="s">
        <v>491</v>
      </c>
      <c r="Q61" s="287" t="s">
        <v>492</v>
      </c>
      <c r="R61" s="7"/>
      <c r="S61" s="4"/>
    </row>
    <row r="62" spans="1:19" ht="18.600000000000001">
      <c r="A62" s="4"/>
      <c r="B62" s="4"/>
      <c r="C62" s="7"/>
      <c r="D62" s="16" t="s">
        <v>587</v>
      </c>
      <c r="E62" s="18" t="s">
        <v>588</v>
      </c>
      <c r="F62" s="287" t="s">
        <v>491</v>
      </c>
      <c r="G62" s="287" t="s">
        <v>491</v>
      </c>
      <c r="H62" s="287" t="s">
        <v>491</v>
      </c>
      <c r="I62" s="287" t="s">
        <v>491</v>
      </c>
      <c r="J62" s="287" t="s">
        <v>491</v>
      </c>
      <c r="K62" s="287" t="s">
        <v>489</v>
      </c>
      <c r="L62" s="287" t="s">
        <v>489</v>
      </c>
      <c r="M62" s="287" t="s">
        <v>491</v>
      </c>
      <c r="N62" s="287" t="s">
        <v>490</v>
      </c>
      <c r="O62" s="287" t="s">
        <v>491</v>
      </c>
      <c r="P62" s="287" t="s">
        <v>491</v>
      </c>
      <c r="Q62" s="287" t="s">
        <v>492</v>
      </c>
      <c r="R62" s="7"/>
      <c r="S62" s="4"/>
    </row>
    <row r="63" spans="1:19" ht="43.5">
      <c r="A63" s="4"/>
      <c r="B63" s="4"/>
      <c r="C63" s="7"/>
      <c r="D63" s="16" t="s">
        <v>589</v>
      </c>
      <c r="E63" s="18" t="s">
        <v>590</v>
      </c>
      <c r="F63" s="287" t="s">
        <v>491</v>
      </c>
      <c r="G63" s="287" t="s">
        <v>491</v>
      </c>
      <c r="H63" s="287" t="s">
        <v>491</v>
      </c>
      <c r="I63" s="287" t="s">
        <v>491</v>
      </c>
      <c r="J63" s="287" t="s">
        <v>491</v>
      </c>
      <c r="K63" s="287" t="s">
        <v>490</v>
      </c>
      <c r="L63" s="287" t="s">
        <v>489</v>
      </c>
      <c r="M63" s="287" t="s">
        <v>491</v>
      </c>
      <c r="N63" s="287" t="s">
        <v>491</v>
      </c>
      <c r="O63" s="287" t="s">
        <v>491</v>
      </c>
      <c r="P63" s="287" t="s">
        <v>489</v>
      </c>
      <c r="Q63" s="287" t="s">
        <v>492</v>
      </c>
      <c r="R63" s="7"/>
      <c r="S63" s="4"/>
    </row>
    <row r="64" spans="1:19">
      <c r="A64" s="4"/>
      <c r="B64" s="4"/>
      <c r="C64" s="7"/>
      <c r="D64" s="7"/>
      <c r="E64" s="7"/>
      <c r="F64" s="7"/>
      <c r="G64" s="7"/>
      <c r="H64" s="7"/>
      <c r="I64" s="7"/>
      <c r="J64" s="7"/>
      <c r="K64" s="7"/>
      <c r="L64" s="7"/>
      <c r="M64" s="7"/>
      <c r="N64" s="7"/>
      <c r="O64" s="7"/>
      <c r="P64" s="7"/>
      <c r="Q64" s="7"/>
      <c r="R64" s="7"/>
      <c r="S64" s="4"/>
    </row>
    <row r="65" spans="1:25">
      <c r="A65" s="4"/>
      <c r="B65" s="4"/>
      <c r="C65" s="4"/>
      <c r="D65" s="4"/>
      <c r="E65" s="4"/>
      <c r="F65" s="4"/>
      <c r="G65" s="4"/>
      <c r="H65" s="4"/>
      <c r="I65" s="4"/>
      <c r="J65" s="4"/>
      <c r="K65" s="4"/>
      <c r="L65" s="4"/>
      <c r="M65" s="4"/>
      <c r="N65" s="4"/>
      <c r="O65" s="4"/>
      <c r="P65" s="4"/>
      <c r="Q65" s="4"/>
      <c r="R65" s="4"/>
      <c r="S65" s="4"/>
    </row>
    <row r="66" spans="1:25" s="4" customFormat="1" ht="18.600000000000001">
      <c r="C66" s="102" t="s">
        <v>78</v>
      </c>
      <c r="D66" s="102"/>
      <c r="T66"/>
      <c r="U66"/>
      <c r="V66"/>
      <c r="W66"/>
      <c r="X66"/>
      <c r="Y66"/>
    </row>
    <row r="67" spans="1:25" s="4" customFormat="1" outlineLevel="1">
      <c r="T67"/>
      <c r="U67"/>
      <c r="V67"/>
      <c r="W67"/>
      <c r="X67"/>
      <c r="Y67"/>
    </row>
    <row r="68" spans="1:25" outlineLevel="1">
      <c r="A68" s="4"/>
      <c r="B68" s="4"/>
      <c r="C68" s="1" t="s">
        <v>591</v>
      </c>
      <c r="D68" s="70"/>
      <c r="E68" s="7"/>
      <c r="F68" s="7"/>
      <c r="G68" s="7"/>
      <c r="H68" s="7"/>
      <c r="I68" s="7"/>
      <c r="J68" s="7"/>
      <c r="K68" s="7"/>
      <c r="L68" s="7"/>
      <c r="M68" s="7"/>
      <c r="N68" s="7"/>
      <c r="O68" s="7"/>
      <c r="P68" s="7"/>
      <c r="Q68" s="7"/>
      <c r="R68" s="7"/>
      <c r="S68" s="4"/>
    </row>
    <row r="69" spans="1:25">
      <c r="A69" s="4"/>
      <c r="B69" s="4"/>
      <c r="C69" s="4"/>
      <c r="D69" s="4"/>
      <c r="E69" s="4"/>
      <c r="F69" s="4"/>
      <c r="G69" s="4"/>
      <c r="H69" s="4"/>
      <c r="I69" s="4"/>
      <c r="J69" s="4"/>
      <c r="K69" s="4"/>
      <c r="L69" s="4"/>
      <c r="M69" s="4"/>
      <c r="N69" s="4"/>
      <c r="O69" s="4"/>
      <c r="P69" s="4"/>
      <c r="Q69" s="4"/>
      <c r="R69" s="4"/>
      <c r="S69" s="4"/>
    </row>
  </sheetData>
  <mergeCells count="2">
    <mergeCell ref="C2:R2"/>
    <mergeCell ref="C3:R3"/>
  </mergeCells>
  <phoneticPr fontId="65"/>
  <conditionalFormatting sqref="F14:Q63">
    <cfRule type="containsText" dxfId="1923" priority="1" operator="containsText" text="I">
      <formula>NOT(ISERROR(SEARCH("I",F14)))</formula>
    </cfRule>
    <cfRule type="containsText" dxfId="1922" priority="2" operator="containsText" text="C">
      <formula>NOT(ISERROR(SEARCH("C",F14)))</formula>
    </cfRule>
    <cfRule type="containsText" dxfId="1921" priority="3" operator="containsText" text="A">
      <formula>NOT(ISERROR(SEARCH("A",F14)))</formula>
    </cfRule>
    <cfRule type="containsText" dxfId="1920" priority="4" operator="containsText" text="R">
      <formula>NOT(ISERROR(SEARCH("R",F14)))</formula>
    </cfRule>
  </conditionalFormatting>
  <hyperlinks>
    <hyperlink ref="C68" r:id="rId1" display="https://learn.microsoft.com/en-us/azure/cloud-adoption-framework/organize/raci-alignment" xr:uid="{8D269568-DE9E-478C-B321-1389B7703927}"/>
  </hyperlinks>
  <pageMargins left="0.7" right="0.7" top="0.75" bottom="0.75" header="0.3" footer="0.3"/>
  <pageSetup orientation="portrait" r:id="rId2"/>
  <drawing r:id="rId3"/>
  <tableParts count="1">
    <tablePart r:id="rId4"/>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294700-7F4C-43D4-8288-BA43635E586C}">
  <sheetPr codeName="Sheet1">
    <tabColor rgb="FFF25022"/>
  </sheetPr>
  <dimension ref="A1:P128"/>
  <sheetViews>
    <sheetView showGridLines="0" showRowColHeaders="0" zoomScaleNormal="100" workbookViewId="0">
      <selection activeCell="F27" sqref="F27"/>
    </sheetView>
  </sheetViews>
  <sheetFormatPr defaultColWidth="0" defaultRowHeight="14.45" zeroHeight="1" outlineLevelRow="1"/>
  <cols>
    <col min="1" max="3" width="5.85546875" customWidth="1"/>
    <col min="4" max="4" width="11.85546875" customWidth="1"/>
    <col min="5" max="5" width="18.42578125" bestFit="1" customWidth="1"/>
    <col min="6" max="6" width="87.85546875" bestFit="1" customWidth="1"/>
    <col min="7" max="7" width="28.42578125" bestFit="1" customWidth="1"/>
    <col min="8" max="8" width="28.85546875" bestFit="1" customWidth="1"/>
    <col min="9" max="10" width="13.42578125" bestFit="1" customWidth="1"/>
    <col min="11" max="11" width="15.42578125" bestFit="1" customWidth="1"/>
    <col min="12" max="12" width="11.42578125" bestFit="1" customWidth="1"/>
    <col min="13" max="13" width="60" customWidth="1"/>
    <col min="14" max="15" width="3.85546875" customWidth="1"/>
    <col min="16" max="16" width="0" hidden="1" customWidth="1"/>
    <col min="17" max="16384" width="8.85546875" hidden="1"/>
  </cols>
  <sheetData>
    <row r="1" spans="1:15">
      <c r="A1" s="4"/>
      <c r="B1" s="4"/>
      <c r="C1" s="4"/>
      <c r="D1" s="4"/>
      <c r="E1" s="4"/>
      <c r="F1" s="4"/>
      <c r="G1" s="4"/>
      <c r="H1" s="4"/>
      <c r="I1" s="4"/>
      <c r="J1" s="4"/>
      <c r="K1" s="4"/>
      <c r="L1" s="8"/>
      <c r="M1" s="4"/>
      <c r="N1" s="4"/>
      <c r="O1" s="4"/>
    </row>
    <row r="2" spans="1:15" ht="21">
      <c r="A2" s="4"/>
      <c r="B2" s="4"/>
      <c r="C2" s="618" t="s">
        <v>592</v>
      </c>
      <c r="D2" s="618"/>
      <c r="E2" s="618"/>
      <c r="F2" s="618"/>
      <c r="G2" s="618"/>
      <c r="H2" s="618"/>
      <c r="I2" s="618"/>
      <c r="J2" s="618"/>
      <c r="K2" s="618"/>
      <c r="L2" s="618"/>
      <c r="M2" s="618"/>
      <c r="N2" s="618"/>
      <c r="O2" s="4"/>
    </row>
    <row r="3" spans="1:15" ht="14.45" customHeight="1">
      <c r="A3" s="4"/>
      <c r="B3" s="4"/>
      <c r="C3" s="646" t="s">
        <v>593</v>
      </c>
      <c r="D3" s="646"/>
      <c r="E3" s="646"/>
      <c r="F3" s="646"/>
      <c r="G3" s="646"/>
      <c r="H3" s="646"/>
      <c r="I3" s="646"/>
      <c r="J3" s="646"/>
      <c r="K3" s="646"/>
      <c r="L3" s="646"/>
      <c r="M3" s="646"/>
      <c r="N3" s="646"/>
      <c r="O3" s="4"/>
    </row>
    <row r="4" spans="1:15" ht="14.45" customHeight="1">
      <c r="A4" s="4"/>
      <c r="B4" s="4"/>
      <c r="C4" s="8"/>
      <c r="D4" s="8"/>
      <c r="E4" s="8"/>
      <c r="F4" s="8"/>
      <c r="G4" s="8"/>
      <c r="H4" s="12"/>
      <c r="I4" s="8"/>
      <c r="J4" s="8"/>
      <c r="K4" s="8"/>
      <c r="L4" s="8"/>
      <c r="M4" s="4"/>
      <c r="N4" s="4"/>
      <c r="O4" s="4"/>
    </row>
    <row r="5" spans="1:15" ht="14.45" customHeight="1">
      <c r="A5" s="4"/>
      <c r="B5" s="4"/>
      <c r="C5" s="198"/>
      <c r="D5" s="7"/>
      <c r="E5" s="106"/>
      <c r="F5" s="85"/>
      <c r="G5" s="7"/>
      <c r="H5" s="7"/>
      <c r="I5" s="7"/>
      <c r="J5" s="7"/>
      <c r="K5" s="7"/>
      <c r="L5" s="7"/>
      <c r="M5" s="7"/>
      <c r="N5" s="7"/>
      <c r="O5" s="4"/>
    </row>
    <row r="6" spans="1:15" ht="14.45" customHeight="1">
      <c r="A6" s="4"/>
      <c r="B6" s="4"/>
      <c r="C6" s="198"/>
      <c r="D6" s="170" t="s">
        <v>299</v>
      </c>
      <c r="E6" s="112"/>
      <c r="F6" s="7"/>
      <c r="G6" s="7"/>
      <c r="H6" s="7"/>
      <c r="I6" s="7"/>
      <c r="J6" s="7"/>
      <c r="K6" s="7"/>
      <c r="L6" s="7"/>
      <c r="M6" s="7"/>
      <c r="N6" s="7"/>
      <c r="O6" s="4"/>
    </row>
    <row r="7" spans="1:15" ht="14.45" customHeight="1">
      <c r="A7" s="4"/>
      <c r="B7" s="4"/>
      <c r="C7" s="198"/>
      <c r="D7" s="170" t="s">
        <v>300</v>
      </c>
      <c r="E7" s="112"/>
      <c r="F7" s="7"/>
      <c r="G7" s="7"/>
      <c r="H7" s="7"/>
      <c r="I7" s="7"/>
      <c r="J7" s="7"/>
      <c r="K7" s="7"/>
      <c r="L7" s="7"/>
      <c r="M7" s="7"/>
      <c r="N7" s="7"/>
      <c r="O7" s="4"/>
    </row>
    <row r="8" spans="1:15" ht="14.45" customHeight="1">
      <c r="A8" s="4"/>
      <c r="B8" s="4"/>
      <c r="C8" s="198"/>
      <c r="D8" s="170" t="s">
        <v>301</v>
      </c>
      <c r="E8" s="112"/>
      <c r="F8" s="7"/>
      <c r="G8" s="7"/>
      <c r="H8" s="7"/>
      <c r="I8" s="7"/>
      <c r="J8" s="7"/>
      <c r="K8" s="7"/>
      <c r="L8" s="7"/>
      <c r="M8" s="7"/>
      <c r="N8" s="7"/>
      <c r="O8" s="4"/>
    </row>
    <row r="9" spans="1:15" ht="14.45" customHeight="1">
      <c r="A9" s="4"/>
      <c r="B9" s="4"/>
      <c r="C9" s="198"/>
      <c r="D9" s="170" t="s">
        <v>0</v>
      </c>
      <c r="E9" s="112"/>
      <c r="F9" s="7"/>
      <c r="G9" s="7"/>
      <c r="H9" s="7"/>
      <c r="I9" s="7"/>
      <c r="J9" s="7"/>
      <c r="K9" s="7"/>
      <c r="L9" s="7"/>
      <c r="M9" s="7"/>
      <c r="N9" s="7"/>
      <c r="O9" s="4"/>
    </row>
    <row r="10" spans="1:15" ht="14.45" customHeight="1">
      <c r="A10" s="4"/>
      <c r="B10" s="4"/>
      <c r="C10" s="198"/>
      <c r="D10" s="7"/>
      <c r="E10" s="7"/>
      <c r="F10" s="159"/>
      <c r="G10" s="159"/>
      <c r="H10" s="159"/>
      <c r="I10" s="159"/>
      <c r="J10" s="159"/>
      <c r="K10" s="159"/>
      <c r="L10" s="7"/>
      <c r="M10" s="7"/>
      <c r="N10" s="7"/>
      <c r="O10" s="4"/>
    </row>
    <row r="11" spans="1:15">
      <c r="A11" s="4"/>
      <c r="B11" s="4"/>
      <c r="C11" s="8"/>
      <c r="D11" s="8"/>
      <c r="E11" s="8"/>
      <c r="F11" s="8"/>
      <c r="G11" s="8"/>
      <c r="H11" s="12"/>
      <c r="I11" s="8"/>
      <c r="J11" s="8"/>
      <c r="K11" s="8"/>
      <c r="L11" s="8"/>
      <c r="M11" s="4"/>
      <c r="N11" s="4"/>
      <c r="O11" s="4"/>
    </row>
    <row r="12" spans="1:15">
      <c r="A12" s="4"/>
      <c r="B12" s="4"/>
      <c r="C12" s="7" t="s">
        <v>594</v>
      </c>
      <c r="D12" s="7"/>
      <c r="E12" s="7"/>
      <c r="F12" s="7"/>
      <c r="G12" s="54"/>
      <c r="H12" s="160"/>
      <c r="I12" s="54"/>
      <c r="J12" s="54"/>
      <c r="K12" s="54"/>
      <c r="L12" s="54"/>
      <c r="M12" s="7"/>
      <c r="N12" s="7"/>
      <c r="O12" s="4"/>
    </row>
    <row r="13" spans="1:15" ht="13.7" customHeight="1">
      <c r="A13" s="4"/>
      <c r="B13" s="4"/>
      <c r="C13" s="7" t="s">
        <v>595</v>
      </c>
      <c r="D13" s="7"/>
      <c r="E13" s="7"/>
      <c r="F13" s="7"/>
      <c r="G13" s="54"/>
      <c r="H13" s="160"/>
      <c r="I13" s="54"/>
      <c r="J13" s="54"/>
      <c r="K13" s="54"/>
      <c r="L13" s="54"/>
      <c r="M13" s="7"/>
      <c r="N13" s="7"/>
      <c r="O13" s="4"/>
    </row>
    <row r="14" spans="1:15" ht="13.7" customHeight="1">
      <c r="A14" s="4"/>
      <c r="B14" s="4"/>
      <c r="C14" s="7" t="s">
        <v>596</v>
      </c>
      <c r="D14" s="7"/>
      <c r="E14" s="7"/>
      <c r="F14" s="7"/>
      <c r="G14" s="54"/>
      <c r="H14" s="160"/>
      <c r="I14" s="54"/>
      <c r="J14" s="54"/>
      <c r="K14" s="54"/>
      <c r="L14" s="54"/>
      <c r="M14" s="7"/>
      <c r="N14" s="7"/>
      <c r="O14" s="4"/>
    </row>
    <row r="15" spans="1:15" ht="13.7" customHeight="1">
      <c r="A15" s="4"/>
      <c r="B15" s="4"/>
      <c r="C15" s="7"/>
      <c r="D15" s="7"/>
      <c r="E15" s="7"/>
      <c r="F15" s="7"/>
      <c r="G15" s="54"/>
      <c r="H15" s="160"/>
      <c r="I15" s="54"/>
      <c r="J15" s="54"/>
      <c r="K15" s="54"/>
      <c r="L15" s="54"/>
      <c r="M15" s="7"/>
      <c r="N15" s="7"/>
      <c r="O15" s="4"/>
    </row>
    <row r="16" spans="1:15">
      <c r="A16" s="4"/>
      <c r="B16" s="4"/>
      <c r="C16" s="7" t="s">
        <v>597</v>
      </c>
      <c r="D16" s="54"/>
      <c r="E16" s="54"/>
      <c r="F16" s="54"/>
      <c r="G16" s="54"/>
      <c r="H16" s="160"/>
      <c r="I16" s="54"/>
      <c r="J16" s="54"/>
      <c r="K16" s="54"/>
      <c r="L16" s="54"/>
      <c r="M16" s="7"/>
      <c r="N16" s="7"/>
      <c r="O16" s="4"/>
    </row>
    <row r="17" spans="1:15">
      <c r="A17" s="4"/>
      <c r="B17" s="4"/>
      <c r="C17" s="7" t="s">
        <v>598</v>
      </c>
      <c r="D17" s="54"/>
      <c r="E17" s="54"/>
      <c r="F17" s="54"/>
      <c r="G17" s="54"/>
      <c r="H17" s="160"/>
      <c r="I17" s="54"/>
      <c r="J17" s="54"/>
      <c r="K17" s="54"/>
      <c r="L17" s="54"/>
      <c r="M17" s="7"/>
      <c r="N17" s="7"/>
      <c r="O17" s="4"/>
    </row>
    <row r="18" spans="1:15">
      <c r="A18" s="4"/>
      <c r="B18" s="4"/>
      <c r="C18" s="7" t="s">
        <v>599</v>
      </c>
      <c r="D18" s="54"/>
      <c r="E18" s="54"/>
      <c r="F18" s="54"/>
      <c r="G18" s="54"/>
      <c r="H18" s="160"/>
      <c r="I18" s="54"/>
      <c r="J18" s="54"/>
      <c r="K18" s="54"/>
      <c r="L18" s="54"/>
      <c r="M18" s="7"/>
      <c r="N18" s="7"/>
      <c r="O18" s="4"/>
    </row>
    <row r="19" spans="1:15">
      <c r="A19" s="4"/>
      <c r="B19" s="4"/>
      <c r="C19" s="7"/>
      <c r="D19" s="54"/>
      <c r="E19" s="54"/>
      <c r="F19" s="54"/>
      <c r="G19" s="54"/>
      <c r="H19" s="160"/>
      <c r="I19" s="54"/>
      <c r="J19" s="54"/>
      <c r="K19" s="54"/>
      <c r="L19" s="54"/>
      <c r="M19" s="7"/>
      <c r="N19" s="7"/>
      <c r="O19" s="4"/>
    </row>
    <row r="20" spans="1:15">
      <c r="A20" s="4"/>
      <c r="B20" s="4"/>
      <c r="C20" s="4"/>
      <c r="D20" s="8"/>
      <c r="E20" s="8"/>
      <c r="F20" s="8"/>
      <c r="G20" s="8"/>
      <c r="H20" s="12"/>
      <c r="I20" s="8"/>
      <c r="J20" s="8"/>
      <c r="K20" s="8"/>
      <c r="L20" s="8"/>
      <c r="M20" s="4"/>
      <c r="N20" s="4"/>
      <c r="O20" s="4"/>
    </row>
    <row r="21" spans="1:15" ht="18.600000000000001">
      <c r="A21" s="101"/>
      <c r="B21" s="101"/>
      <c r="C21" s="102" t="s">
        <v>247</v>
      </c>
      <c r="D21" s="103"/>
      <c r="E21" s="103"/>
      <c r="F21" s="103"/>
      <c r="G21" s="103"/>
      <c r="H21" s="173"/>
      <c r="I21" s="103"/>
      <c r="J21" s="103"/>
      <c r="K21" s="103"/>
      <c r="L21" s="103"/>
      <c r="M21" s="101"/>
      <c r="N21" s="101"/>
      <c r="O21" s="101"/>
    </row>
    <row r="22" spans="1:15" ht="18.600000000000001">
      <c r="A22" s="101"/>
      <c r="B22" s="101"/>
      <c r="C22" s="102"/>
      <c r="D22" s="103"/>
      <c r="E22" s="103"/>
      <c r="F22" s="103"/>
      <c r="G22" s="103"/>
      <c r="H22" s="173"/>
      <c r="I22" s="103"/>
      <c r="J22" s="103"/>
      <c r="K22" s="103"/>
      <c r="L22" s="103"/>
      <c r="M22" s="101"/>
      <c r="N22" s="101"/>
      <c r="O22" s="101"/>
    </row>
    <row r="23" spans="1:15">
      <c r="A23" s="4"/>
      <c r="B23" s="4"/>
      <c r="C23" s="54"/>
      <c r="D23" s="54"/>
      <c r="E23" s="54"/>
      <c r="F23" s="54"/>
      <c r="G23" s="54"/>
      <c r="H23" s="160"/>
      <c r="I23" s="54"/>
      <c r="J23" s="54"/>
      <c r="K23" s="54"/>
      <c r="L23" s="54"/>
      <c r="M23" s="7"/>
      <c r="N23" s="7"/>
      <c r="O23" s="4"/>
    </row>
    <row r="24" spans="1:15">
      <c r="A24" s="4"/>
      <c r="B24" s="4"/>
      <c r="C24" s="54"/>
      <c r="D24" s="54"/>
      <c r="E24" s="54"/>
      <c r="F24" s="54"/>
      <c r="G24" s="54"/>
      <c r="H24" s="160"/>
      <c r="I24" s="54"/>
      <c r="J24" s="54"/>
      <c r="K24" s="54"/>
      <c r="L24" s="54"/>
      <c r="M24" s="7"/>
      <c r="N24" s="7"/>
      <c r="O24" s="4"/>
    </row>
    <row r="25" spans="1:15" ht="14.45" customHeight="1">
      <c r="A25" s="238"/>
      <c r="B25" s="238"/>
      <c r="C25" s="239"/>
      <c r="D25" s="239"/>
      <c r="E25" s="239"/>
      <c r="F25" s="239"/>
      <c r="G25" s="239"/>
      <c r="H25" s="240"/>
      <c r="I25" s="239"/>
      <c r="J25" s="645" t="s">
        <v>600</v>
      </c>
      <c r="K25" s="645"/>
      <c r="L25" s="645"/>
      <c r="M25" s="645"/>
      <c r="N25" s="7"/>
      <c r="O25" s="4"/>
    </row>
    <row r="26" spans="1:15" ht="16.5">
      <c r="A26" s="4"/>
      <c r="B26" s="4"/>
      <c r="C26" s="7"/>
      <c r="D26" s="18" t="s">
        <v>601</v>
      </c>
      <c r="E26" s="18" t="s">
        <v>602</v>
      </c>
      <c r="F26" s="18" t="s">
        <v>247</v>
      </c>
      <c r="G26" s="18" t="s">
        <v>603</v>
      </c>
      <c r="H26" s="18" t="s">
        <v>604</v>
      </c>
      <c r="I26" s="18" t="s">
        <v>605</v>
      </c>
      <c r="J26" s="18" t="s">
        <v>299</v>
      </c>
      <c r="K26" s="18" t="s">
        <v>606</v>
      </c>
      <c r="L26" s="18" t="s">
        <v>414</v>
      </c>
      <c r="M26" s="18" t="s">
        <v>607</v>
      </c>
      <c r="N26" s="7"/>
      <c r="O26" s="4"/>
    </row>
    <row r="27" spans="1:15" ht="57.95">
      <c r="A27" s="4"/>
      <c r="B27" s="4"/>
      <c r="C27" s="7"/>
      <c r="D27" s="18" t="s">
        <v>608</v>
      </c>
      <c r="E27" s="18" t="s">
        <v>349</v>
      </c>
      <c r="F27" s="18" t="s">
        <v>609</v>
      </c>
      <c r="G27" s="18" t="s">
        <v>610</v>
      </c>
      <c r="H27" s="18" t="s">
        <v>611</v>
      </c>
      <c r="I27" s="18" t="s">
        <v>612</v>
      </c>
      <c r="J27" s="18"/>
      <c r="K27" s="18"/>
      <c r="L27" s="18"/>
      <c r="M27" s="18"/>
      <c r="N27" s="7"/>
      <c r="O27" s="4"/>
    </row>
    <row r="28" spans="1:15" ht="43.5">
      <c r="A28" s="4"/>
      <c r="B28" s="4"/>
      <c r="C28" s="7"/>
      <c r="D28" s="18" t="s">
        <v>613</v>
      </c>
      <c r="E28" s="18" t="s">
        <v>349</v>
      </c>
      <c r="F28" s="18" t="s">
        <v>614</v>
      </c>
      <c r="G28" s="18" t="s">
        <v>610</v>
      </c>
      <c r="H28" s="18" t="s">
        <v>611</v>
      </c>
      <c r="I28" s="18" t="s">
        <v>612</v>
      </c>
      <c r="J28" s="18"/>
      <c r="K28" s="18"/>
      <c r="L28" s="18"/>
      <c r="M28" s="18"/>
      <c r="N28" s="7"/>
      <c r="O28" s="4"/>
    </row>
    <row r="29" spans="1:15" ht="43.5">
      <c r="A29" s="4"/>
      <c r="B29" s="4"/>
      <c r="C29" s="7"/>
      <c r="D29" s="18" t="s">
        <v>615</v>
      </c>
      <c r="E29" s="18" t="s">
        <v>349</v>
      </c>
      <c r="F29" s="18" t="s">
        <v>616</v>
      </c>
      <c r="G29" s="18" t="s">
        <v>412</v>
      </c>
      <c r="H29" s="18" t="s">
        <v>611</v>
      </c>
      <c r="I29" s="18" t="s">
        <v>617</v>
      </c>
      <c r="J29" s="18"/>
      <c r="K29" s="18"/>
      <c r="L29" s="18"/>
      <c r="M29" s="18"/>
      <c r="N29" s="7"/>
      <c r="O29" s="4"/>
    </row>
    <row r="30" spans="1:15" ht="43.5">
      <c r="A30" s="4"/>
      <c r="B30" s="4"/>
      <c r="C30" s="7"/>
      <c r="D30" s="18" t="s">
        <v>618</v>
      </c>
      <c r="E30" s="18" t="s">
        <v>349</v>
      </c>
      <c r="F30" s="18" t="s">
        <v>619</v>
      </c>
      <c r="G30" s="18"/>
      <c r="H30" s="18" t="s">
        <v>611</v>
      </c>
      <c r="I30" s="18" t="s">
        <v>612</v>
      </c>
      <c r="J30" s="18"/>
      <c r="K30" s="18"/>
      <c r="L30" s="18"/>
      <c r="M30" s="18"/>
      <c r="N30" s="7"/>
      <c r="O30" s="4"/>
    </row>
    <row r="31" spans="1:15" ht="43.5">
      <c r="A31" s="4"/>
      <c r="B31" s="4"/>
      <c r="C31" s="7"/>
      <c r="D31" s="18" t="s">
        <v>620</v>
      </c>
      <c r="E31" s="18" t="s">
        <v>349</v>
      </c>
      <c r="F31" s="18" t="s">
        <v>621</v>
      </c>
      <c r="G31" s="18" t="s">
        <v>412</v>
      </c>
      <c r="H31" s="18" t="s">
        <v>611</v>
      </c>
      <c r="I31" s="18" t="s">
        <v>612</v>
      </c>
      <c r="J31" s="18"/>
      <c r="K31" s="18"/>
      <c r="L31" s="18"/>
      <c r="M31" s="18"/>
      <c r="N31" s="7"/>
      <c r="O31" s="4"/>
    </row>
    <row r="32" spans="1:15" ht="43.5">
      <c r="A32" s="4"/>
      <c r="B32" s="4"/>
      <c r="C32" s="7"/>
      <c r="D32" s="18" t="s">
        <v>622</v>
      </c>
      <c r="E32" s="18" t="s">
        <v>349</v>
      </c>
      <c r="F32" s="18" t="s">
        <v>623</v>
      </c>
      <c r="G32" s="18" t="s">
        <v>610</v>
      </c>
      <c r="H32" s="18" t="s">
        <v>611</v>
      </c>
      <c r="I32" s="18" t="s">
        <v>612</v>
      </c>
      <c r="J32" s="18"/>
      <c r="K32" s="18"/>
      <c r="L32" s="288"/>
      <c r="M32" s="288"/>
      <c r="N32" s="7"/>
      <c r="O32" s="4"/>
    </row>
    <row r="33" spans="1:15" ht="43.5">
      <c r="A33" s="4"/>
      <c r="B33" s="4"/>
      <c r="C33" s="7"/>
      <c r="D33" s="18" t="s">
        <v>624</v>
      </c>
      <c r="E33" s="18" t="s">
        <v>349</v>
      </c>
      <c r="F33" s="18" t="s">
        <v>625</v>
      </c>
      <c r="G33" s="18" t="s">
        <v>610</v>
      </c>
      <c r="H33" s="18" t="s">
        <v>611</v>
      </c>
      <c r="I33" s="18" t="s">
        <v>612</v>
      </c>
      <c r="J33" s="18"/>
      <c r="K33" s="18"/>
      <c r="L33" s="288"/>
      <c r="M33" s="18"/>
      <c r="N33" s="7"/>
      <c r="O33" s="4"/>
    </row>
    <row r="34" spans="1:15" ht="43.5">
      <c r="A34" s="4"/>
      <c r="B34" s="4"/>
      <c r="C34" s="7"/>
      <c r="D34" s="18" t="s">
        <v>626</v>
      </c>
      <c r="E34" s="18" t="s">
        <v>349</v>
      </c>
      <c r="F34" s="18" t="s">
        <v>627</v>
      </c>
      <c r="G34" s="18" t="s">
        <v>610</v>
      </c>
      <c r="H34" s="18" t="s">
        <v>611</v>
      </c>
      <c r="I34" s="18" t="s">
        <v>612</v>
      </c>
      <c r="J34" s="18"/>
      <c r="K34" s="18"/>
      <c r="L34" s="288"/>
      <c r="M34" s="18"/>
      <c r="N34" s="7"/>
      <c r="O34" s="4"/>
    </row>
    <row r="35" spans="1:15" ht="43.5">
      <c r="A35" s="4"/>
      <c r="B35" s="4"/>
      <c r="C35" s="7"/>
      <c r="D35" s="18" t="s">
        <v>628</v>
      </c>
      <c r="E35" s="18" t="s">
        <v>349</v>
      </c>
      <c r="F35" s="18" t="s">
        <v>629</v>
      </c>
      <c r="G35" s="18" t="s">
        <v>610</v>
      </c>
      <c r="H35" s="18" t="s">
        <v>611</v>
      </c>
      <c r="I35" s="18" t="s">
        <v>612</v>
      </c>
      <c r="J35" s="18"/>
      <c r="K35" s="18"/>
      <c r="L35" s="288"/>
      <c r="M35" s="18"/>
      <c r="N35" s="7"/>
      <c r="O35" s="4"/>
    </row>
    <row r="36" spans="1:15" ht="43.5">
      <c r="A36" s="4"/>
      <c r="B36" s="4"/>
      <c r="C36" s="7"/>
      <c r="D36" s="18" t="s">
        <v>630</v>
      </c>
      <c r="E36" s="18" t="s">
        <v>349</v>
      </c>
      <c r="F36" s="18" t="s">
        <v>631</v>
      </c>
      <c r="G36" s="18" t="s">
        <v>412</v>
      </c>
      <c r="H36" s="18" t="s">
        <v>611</v>
      </c>
      <c r="I36" s="18" t="s">
        <v>612</v>
      </c>
      <c r="J36" s="18"/>
      <c r="K36" s="18"/>
      <c r="L36" s="288"/>
      <c r="M36" s="18"/>
      <c r="N36" s="7"/>
      <c r="O36" s="4"/>
    </row>
    <row r="37" spans="1:15" ht="43.5">
      <c r="A37" s="4"/>
      <c r="B37" s="4"/>
      <c r="C37" s="7"/>
      <c r="D37" s="18" t="s">
        <v>632</v>
      </c>
      <c r="E37" s="18" t="s">
        <v>349</v>
      </c>
      <c r="F37" s="18" t="s">
        <v>633</v>
      </c>
      <c r="G37" s="18" t="s">
        <v>412</v>
      </c>
      <c r="H37" s="18" t="s">
        <v>611</v>
      </c>
      <c r="I37" s="18" t="s">
        <v>612</v>
      </c>
      <c r="J37" s="18"/>
      <c r="K37" s="18"/>
      <c r="L37" s="288"/>
      <c r="M37" s="18"/>
      <c r="N37" s="7"/>
      <c r="O37" s="4"/>
    </row>
    <row r="38" spans="1:15" ht="43.5">
      <c r="A38" s="4"/>
      <c r="B38" s="4"/>
      <c r="C38" s="7"/>
      <c r="D38" s="18" t="s">
        <v>634</v>
      </c>
      <c r="E38" s="18" t="s">
        <v>349</v>
      </c>
      <c r="F38" s="18" t="s">
        <v>635</v>
      </c>
      <c r="G38" s="18" t="s">
        <v>412</v>
      </c>
      <c r="H38" s="18" t="s">
        <v>611</v>
      </c>
      <c r="I38" s="18" t="s">
        <v>612</v>
      </c>
      <c r="J38" s="18"/>
      <c r="K38" s="18"/>
      <c r="L38" s="288"/>
      <c r="M38" s="18"/>
      <c r="N38" s="7"/>
      <c r="O38" s="4"/>
    </row>
    <row r="39" spans="1:15" ht="43.5">
      <c r="A39" s="4"/>
      <c r="B39" s="4"/>
      <c r="C39" s="7"/>
      <c r="D39" s="18" t="s">
        <v>636</v>
      </c>
      <c r="E39" s="18" t="s">
        <v>349</v>
      </c>
      <c r="F39" s="18" t="s">
        <v>637</v>
      </c>
      <c r="G39" s="18" t="s">
        <v>412</v>
      </c>
      <c r="H39" s="18" t="s">
        <v>611</v>
      </c>
      <c r="I39" s="18" t="s">
        <v>617</v>
      </c>
      <c r="J39" s="18"/>
      <c r="K39" s="18"/>
      <c r="L39" s="18"/>
      <c r="M39" s="18"/>
      <c r="N39" s="7"/>
      <c r="O39" s="4"/>
    </row>
    <row r="40" spans="1:15" ht="43.5">
      <c r="A40" s="4"/>
      <c r="B40" s="4"/>
      <c r="C40" s="7"/>
      <c r="D40" s="18" t="s">
        <v>638</v>
      </c>
      <c r="E40" s="18" t="s">
        <v>349</v>
      </c>
      <c r="F40" s="18" t="s">
        <v>639</v>
      </c>
      <c r="G40" s="18" t="s">
        <v>412</v>
      </c>
      <c r="H40" s="18" t="s">
        <v>611</v>
      </c>
      <c r="I40" s="18" t="s">
        <v>612</v>
      </c>
      <c r="J40" s="18"/>
      <c r="K40" s="18"/>
      <c r="L40" s="18"/>
      <c r="M40" s="18"/>
      <c r="N40" s="7"/>
      <c r="O40" s="4"/>
    </row>
    <row r="41" spans="1:15" ht="43.5">
      <c r="A41" s="4"/>
      <c r="B41" s="4"/>
      <c r="C41" s="7"/>
      <c r="D41" s="18" t="s">
        <v>640</v>
      </c>
      <c r="E41" s="18" t="s">
        <v>349</v>
      </c>
      <c r="F41" s="18" t="s">
        <v>641</v>
      </c>
      <c r="G41" s="18" t="s">
        <v>412</v>
      </c>
      <c r="H41" s="18" t="s">
        <v>611</v>
      </c>
      <c r="I41" s="18" t="s">
        <v>612</v>
      </c>
      <c r="J41" s="18"/>
      <c r="K41" s="18"/>
      <c r="L41" s="18"/>
      <c r="M41" s="18"/>
      <c r="N41" s="7"/>
      <c r="O41" s="4"/>
    </row>
    <row r="42" spans="1:15" ht="43.5">
      <c r="A42" s="4"/>
      <c r="B42" s="4"/>
      <c r="C42" s="7"/>
      <c r="D42" s="18" t="s">
        <v>642</v>
      </c>
      <c r="E42" s="18" t="s">
        <v>643</v>
      </c>
      <c r="F42" s="18" t="s">
        <v>644</v>
      </c>
      <c r="G42" s="18" t="s">
        <v>645</v>
      </c>
      <c r="H42" s="18" t="s">
        <v>611</v>
      </c>
      <c r="I42" s="18" t="s">
        <v>612</v>
      </c>
      <c r="J42" s="18"/>
      <c r="K42" s="18"/>
      <c r="L42" s="18"/>
      <c r="M42" s="18"/>
      <c r="N42" s="7"/>
      <c r="O42" s="4"/>
    </row>
    <row r="43" spans="1:15" ht="43.5">
      <c r="A43" s="4"/>
      <c r="B43" s="4"/>
      <c r="C43" s="7"/>
      <c r="D43" s="18" t="s">
        <v>646</v>
      </c>
      <c r="E43" s="18" t="s">
        <v>643</v>
      </c>
      <c r="F43" s="18" t="s">
        <v>647</v>
      </c>
      <c r="G43" s="18" t="s">
        <v>610</v>
      </c>
      <c r="H43" s="18" t="s">
        <v>611</v>
      </c>
      <c r="I43" s="18" t="s">
        <v>612</v>
      </c>
      <c r="J43" s="18"/>
      <c r="K43" s="18"/>
      <c r="L43" s="18"/>
      <c r="M43" s="18"/>
      <c r="N43" s="7"/>
      <c r="O43" s="4"/>
    </row>
    <row r="44" spans="1:15" ht="43.5">
      <c r="A44" s="4"/>
      <c r="B44" s="4"/>
      <c r="C44" s="7"/>
      <c r="D44" s="18" t="s">
        <v>648</v>
      </c>
      <c r="E44" s="18" t="s">
        <v>119</v>
      </c>
      <c r="F44" s="18" t="s">
        <v>649</v>
      </c>
      <c r="G44" s="18" t="s">
        <v>412</v>
      </c>
      <c r="H44" s="18" t="s">
        <v>611</v>
      </c>
      <c r="I44" s="18" t="s">
        <v>617</v>
      </c>
      <c r="J44" s="18"/>
      <c r="K44" s="18"/>
      <c r="L44" s="18"/>
      <c r="M44" s="18"/>
      <c r="N44" s="7"/>
      <c r="O44" s="4"/>
    </row>
    <row r="45" spans="1:15" ht="43.5">
      <c r="A45" s="4"/>
      <c r="B45" s="4"/>
      <c r="C45" s="7"/>
      <c r="D45" s="18" t="s">
        <v>650</v>
      </c>
      <c r="E45" s="18" t="s">
        <v>119</v>
      </c>
      <c r="F45" s="18" t="s">
        <v>651</v>
      </c>
      <c r="G45" s="18" t="s">
        <v>412</v>
      </c>
      <c r="H45" s="18" t="s">
        <v>611</v>
      </c>
      <c r="I45" s="18" t="s">
        <v>617</v>
      </c>
      <c r="J45" s="18"/>
      <c r="K45" s="18"/>
      <c r="L45" s="18"/>
      <c r="M45" s="18"/>
      <c r="N45" s="7"/>
      <c r="O45" s="4"/>
    </row>
    <row r="46" spans="1:15" ht="43.5">
      <c r="A46" s="4"/>
      <c r="B46" s="4"/>
      <c r="C46" s="7"/>
      <c r="D46" s="18" t="s">
        <v>652</v>
      </c>
      <c r="E46" s="18" t="s">
        <v>119</v>
      </c>
      <c r="F46" s="18" t="s">
        <v>653</v>
      </c>
      <c r="G46" s="18" t="s">
        <v>412</v>
      </c>
      <c r="H46" s="18" t="s">
        <v>611</v>
      </c>
      <c r="I46" s="18" t="s">
        <v>617</v>
      </c>
      <c r="J46" s="18"/>
      <c r="K46" s="18"/>
      <c r="L46" s="18"/>
      <c r="M46" s="18"/>
      <c r="N46" s="7"/>
      <c r="O46" s="4"/>
    </row>
    <row r="47" spans="1:15" ht="43.5">
      <c r="A47" s="4"/>
      <c r="B47" s="4"/>
      <c r="C47" s="7"/>
      <c r="D47" s="18" t="s">
        <v>654</v>
      </c>
      <c r="E47" s="18" t="s">
        <v>119</v>
      </c>
      <c r="F47" s="18" t="s">
        <v>655</v>
      </c>
      <c r="G47" s="18" t="s">
        <v>412</v>
      </c>
      <c r="H47" s="18" t="s">
        <v>611</v>
      </c>
      <c r="I47" s="18" t="s">
        <v>617</v>
      </c>
      <c r="J47" s="18"/>
      <c r="K47" s="18"/>
      <c r="L47" s="18"/>
      <c r="M47" s="18"/>
      <c r="N47" s="7"/>
      <c r="O47" s="4"/>
    </row>
    <row r="48" spans="1:15" ht="43.5">
      <c r="A48" s="4"/>
      <c r="B48" s="4"/>
      <c r="C48" s="7"/>
      <c r="D48" s="18" t="s">
        <v>656</v>
      </c>
      <c r="E48" s="18" t="s">
        <v>119</v>
      </c>
      <c r="F48" s="18" t="s">
        <v>657</v>
      </c>
      <c r="G48" s="18" t="s">
        <v>412</v>
      </c>
      <c r="H48" s="18" t="s">
        <v>611</v>
      </c>
      <c r="I48" s="18" t="s">
        <v>617</v>
      </c>
      <c r="J48" s="18"/>
      <c r="K48" s="18"/>
      <c r="L48" s="18"/>
      <c r="M48" s="18"/>
      <c r="N48" s="7"/>
      <c r="O48" s="4"/>
    </row>
    <row r="49" spans="1:15" ht="43.5">
      <c r="A49" s="4"/>
      <c r="B49" s="4"/>
      <c r="C49" s="7"/>
      <c r="D49" s="18" t="s">
        <v>658</v>
      </c>
      <c r="E49" s="18" t="s">
        <v>119</v>
      </c>
      <c r="F49" s="18" t="s">
        <v>659</v>
      </c>
      <c r="G49" s="18" t="s">
        <v>412</v>
      </c>
      <c r="H49" s="18" t="s">
        <v>611</v>
      </c>
      <c r="I49" s="18" t="s">
        <v>612</v>
      </c>
      <c r="J49" s="18"/>
      <c r="K49" s="18"/>
      <c r="L49" s="18"/>
      <c r="M49" s="18"/>
      <c r="N49" s="7"/>
      <c r="O49" s="4"/>
    </row>
    <row r="50" spans="1:15" ht="43.5">
      <c r="A50" s="4"/>
      <c r="B50" s="4"/>
      <c r="C50" s="7"/>
      <c r="D50" s="18" t="s">
        <v>660</v>
      </c>
      <c r="E50" s="18" t="s">
        <v>119</v>
      </c>
      <c r="F50" s="18" t="s">
        <v>661</v>
      </c>
      <c r="G50" s="18" t="s">
        <v>412</v>
      </c>
      <c r="H50" s="18" t="s">
        <v>611</v>
      </c>
      <c r="I50" s="18" t="s">
        <v>612</v>
      </c>
      <c r="J50" s="18"/>
      <c r="K50" s="18"/>
      <c r="L50" s="18"/>
      <c r="M50" s="18"/>
      <c r="N50" s="7"/>
      <c r="O50" s="4"/>
    </row>
    <row r="51" spans="1:15" ht="43.5">
      <c r="A51" s="4"/>
      <c r="B51" s="4"/>
      <c r="C51" s="7"/>
      <c r="D51" s="18" t="s">
        <v>662</v>
      </c>
      <c r="E51" s="18" t="s">
        <v>119</v>
      </c>
      <c r="F51" s="18" t="s">
        <v>663</v>
      </c>
      <c r="G51" s="18" t="s">
        <v>610</v>
      </c>
      <c r="H51" s="18" t="s">
        <v>611</v>
      </c>
      <c r="I51" s="18" t="s">
        <v>612</v>
      </c>
      <c r="J51" s="18"/>
      <c r="K51" s="18"/>
      <c r="L51" s="18"/>
      <c r="M51" s="18"/>
      <c r="N51" s="7"/>
      <c r="O51" s="4"/>
    </row>
    <row r="52" spans="1:15" ht="43.5">
      <c r="A52" s="4"/>
      <c r="B52" s="4"/>
      <c r="C52" s="7"/>
      <c r="D52" s="18" t="s">
        <v>664</v>
      </c>
      <c r="E52" s="18" t="s">
        <v>119</v>
      </c>
      <c r="F52" s="18" t="s">
        <v>665</v>
      </c>
      <c r="G52" s="18" t="s">
        <v>412</v>
      </c>
      <c r="H52" s="18" t="s">
        <v>611</v>
      </c>
      <c r="I52" s="18" t="s">
        <v>612</v>
      </c>
      <c r="J52" s="18"/>
      <c r="K52" s="18"/>
      <c r="L52" s="18"/>
      <c r="M52" s="18"/>
      <c r="N52" s="7"/>
      <c r="O52" s="4"/>
    </row>
    <row r="53" spans="1:15" ht="43.5">
      <c r="A53" s="4"/>
      <c r="B53" s="4"/>
      <c r="C53" s="7"/>
      <c r="D53" s="18" t="s">
        <v>666</v>
      </c>
      <c r="E53" s="18" t="s">
        <v>119</v>
      </c>
      <c r="F53" s="18" t="s">
        <v>667</v>
      </c>
      <c r="G53" s="18" t="s">
        <v>412</v>
      </c>
      <c r="H53" s="18" t="s">
        <v>611</v>
      </c>
      <c r="I53" s="18" t="s">
        <v>612</v>
      </c>
      <c r="J53" s="18"/>
      <c r="K53" s="18"/>
      <c r="L53" s="18"/>
      <c r="M53" s="18"/>
      <c r="N53" s="7"/>
      <c r="O53" s="4"/>
    </row>
    <row r="54" spans="1:15" ht="43.5">
      <c r="A54" s="4"/>
      <c r="B54" s="4"/>
      <c r="C54" s="7"/>
      <c r="D54" s="18" t="s">
        <v>668</v>
      </c>
      <c r="E54" s="18" t="s">
        <v>119</v>
      </c>
      <c r="F54" s="18" t="s">
        <v>669</v>
      </c>
      <c r="G54" s="18" t="s">
        <v>645</v>
      </c>
      <c r="H54" s="18" t="s">
        <v>611</v>
      </c>
      <c r="I54" s="18" t="s">
        <v>612</v>
      </c>
      <c r="J54" s="18"/>
      <c r="K54" s="18"/>
      <c r="L54" s="18"/>
      <c r="M54" s="18"/>
      <c r="N54" s="7"/>
      <c r="O54" s="4"/>
    </row>
    <row r="55" spans="1:15" ht="43.5">
      <c r="A55" s="4"/>
      <c r="B55" s="4"/>
      <c r="C55" s="7"/>
      <c r="D55" s="18" t="s">
        <v>670</v>
      </c>
      <c r="E55" s="18" t="s">
        <v>119</v>
      </c>
      <c r="F55" s="18" t="s">
        <v>671</v>
      </c>
      <c r="G55" s="18" t="s">
        <v>645</v>
      </c>
      <c r="H55" s="18" t="s">
        <v>611</v>
      </c>
      <c r="I55" s="18" t="s">
        <v>612</v>
      </c>
      <c r="J55" s="18"/>
      <c r="K55" s="18"/>
      <c r="L55" s="18"/>
      <c r="M55" s="18"/>
      <c r="N55" s="7"/>
      <c r="O55" s="4"/>
    </row>
    <row r="56" spans="1:15" ht="43.5">
      <c r="A56" s="4"/>
      <c r="B56" s="4"/>
      <c r="C56" s="7"/>
      <c r="D56" s="18" t="s">
        <v>672</v>
      </c>
      <c r="E56" s="18" t="s">
        <v>119</v>
      </c>
      <c r="F56" s="18" t="s">
        <v>673</v>
      </c>
      <c r="G56" s="18" t="s">
        <v>412</v>
      </c>
      <c r="H56" s="18" t="s">
        <v>611</v>
      </c>
      <c r="I56" s="18" t="s">
        <v>612</v>
      </c>
      <c r="J56" s="18"/>
      <c r="K56" s="18"/>
      <c r="L56" s="18"/>
      <c r="M56" s="18"/>
      <c r="N56" s="7"/>
      <c r="O56" s="4"/>
    </row>
    <row r="57" spans="1:15" ht="43.5">
      <c r="A57" s="4"/>
      <c r="B57" s="4"/>
      <c r="C57" s="7"/>
      <c r="D57" s="18" t="s">
        <v>674</v>
      </c>
      <c r="E57" s="18" t="s">
        <v>119</v>
      </c>
      <c r="F57" s="18" t="s">
        <v>675</v>
      </c>
      <c r="G57" s="18" t="s">
        <v>412</v>
      </c>
      <c r="H57" s="18" t="s">
        <v>611</v>
      </c>
      <c r="I57" s="18" t="s">
        <v>612</v>
      </c>
      <c r="J57" s="18"/>
      <c r="K57" s="18"/>
      <c r="L57" s="18"/>
      <c r="M57" s="18"/>
      <c r="N57" s="7"/>
      <c r="O57" s="4"/>
    </row>
    <row r="58" spans="1:15" ht="43.5">
      <c r="A58" s="4"/>
      <c r="B58" s="4"/>
      <c r="C58" s="7"/>
      <c r="D58" s="18" t="s">
        <v>676</v>
      </c>
      <c r="E58" s="18" t="s">
        <v>119</v>
      </c>
      <c r="F58" s="18" t="s">
        <v>677</v>
      </c>
      <c r="G58" s="18" t="s">
        <v>412</v>
      </c>
      <c r="H58" s="18" t="s">
        <v>611</v>
      </c>
      <c r="I58" s="18" t="s">
        <v>617</v>
      </c>
      <c r="J58" s="18"/>
      <c r="K58" s="18"/>
      <c r="L58" s="18"/>
      <c r="M58" s="18"/>
      <c r="N58" s="7"/>
      <c r="O58" s="4"/>
    </row>
    <row r="59" spans="1:15" ht="43.5">
      <c r="A59" s="4"/>
      <c r="B59" s="4"/>
      <c r="C59" s="7"/>
      <c r="D59" s="18" t="s">
        <v>678</v>
      </c>
      <c r="E59" s="18" t="s">
        <v>119</v>
      </c>
      <c r="F59" s="18" t="s">
        <v>679</v>
      </c>
      <c r="G59" s="18" t="s">
        <v>645</v>
      </c>
      <c r="H59" s="18" t="s">
        <v>611</v>
      </c>
      <c r="I59" s="18" t="s">
        <v>617</v>
      </c>
      <c r="J59" s="18"/>
      <c r="K59" s="18"/>
      <c r="L59" s="18"/>
      <c r="M59" s="18"/>
      <c r="N59" s="7"/>
      <c r="O59" s="4"/>
    </row>
    <row r="60" spans="1:15" ht="43.5">
      <c r="A60" s="4"/>
      <c r="B60" s="4"/>
      <c r="C60" s="7"/>
      <c r="D60" s="18" t="s">
        <v>680</v>
      </c>
      <c r="E60" s="18" t="s">
        <v>119</v>
      </c>
      <c r="F60" s="18" t="s">
        <v>681</v>
      </c>
      <c r="G60" s="18" t="s">
        <v>413</v>
      </c>
      <c r="H60" s="18" t="s">
        <v>611</v>
      </c>
      <c r="I60" s="18" t="s">
        <v>617</v>
      </c>
      <c r="J60" s="18"/>
      <c r="K60" s="18"/>
      <c r="L60" s="18"/>
      <c r="M60" s="18"/>
      <c r="N60" s="7"/>
      <c r="O60" s="4"/>
    </row>
    <row r="61" spans="1:15" ht="43.5">
      <c r="A61" s="4"/>
      <c r="B61" s="4"/>
      <c r="C61" s="7"/>
      <c r="D61" s="18" t="s">
        <v>682</v>
      </c>
      <c r="E61" s="18" t="s">
        <v>119</v>
      </c>
      <c r="F61" s="18" t="s">
        <v>683</v>
      </c>
      <c r="G61" s="18" t="s">
        <v>413</v>
      </c>
      <c r="H61" s="18" t="s">
        <v>611</v>
      </c>
      <c r="I61" s="18" t="s">
        <v>617</v>
      </c>
      <c r="J61" s="18"/>
      <c r="K61" s="18"/>
      <c r="L61" s="18"/>
      <c r="M61" s="18"/>
      <c r="N61" s="7"/>
      <c r="O61" s="4"/>
    </row>
    <row r="62" spans="1:15" ht="43.5">
      <c r="A62" s="4"/>
      <c r="B62" s="4"/>
      <c r="C62" s="7"/>
      <c r="D62" s="18" t="s">
        <v>684</v>
      </c>
      <c r="E62" s="18" t="s">
        <v>119</v>
      </c>
      <c r="F62" s="18" t="s">
        <v>685</v>
      </c>
      <c r="G62" s="18" t="s">
        <v>645</v>
      </c>
      <c r="H62" s="18" t="s">
        <v>611</v>
      </c>
      <c r="I62" s="18" t="s">
        <v>617</v>
      </c>
      <c r="J62" s="18"/>
      <c r="K62" s="18"/>
      <c r="L62" s="18"/>
      <c r="M62" s="18"/>
      <c r="N62" s="7"/>
      <c r="O62" s="4"/>
    </row>
    <row r="63" spans="1:15" ht="43.5">
      <c r="A63" s="4"/>
      <c r="B63" s="4"/>
      <c r="C63" s="7"/>
      <c r="D63" s="18" t="s">
        <v>686</v>
      </c>
      <c r="E63" s="18" t="s">
        <v>119</v>
      </c>
      <c r="F63" s="18" t="s">
        <v>687</v>
      </c>
      <c r="G63" s="18" t="s">
        <v>645</v>
      </c>
      <c r="H63" s="18" t="s">
        <v>611</v>
      </c>
      <c r="I63" s="18" t="s">
        <v>617</v>
      </c>
      <c r="J63" s="18"/>
      <c r="K63" s="18"/>
      <c r="L63" s="18"/>
      <c r="M63" s="18"/>
      <c r="N63" s="7"/>
      <c r="O63" s="4"/>
    </row>
    <row r="64" spans="1:15" ht="43.5">
      <c r="A64" s="4"/>
      <c r="B64" s="4"/>
      <c r="C64" s="7"/>
      <c r="D64" s="18" t="s">
        <v>688</v>
      </c>
      <c r="E64" s="18" t="s">
        <v>119</v>
      </c>
      <c r="F64" s="18" t="s">
        <v>689</v>
      </c>
      <c r="G64" s="18" t="s">
        <v>413</v>
      </c>
      <c r="H64" s="18" t="s">
        <v>611</v>
      </c>
      <c r="I64" s="18" t="s">
        <v>617</v>
      </c>
      <c r="J64" s="18"/>
      <c r="K64" s="18"/>
      <c r="L64" s="18"/>
      <c r="M64" s="18"/>
      <c r="N64" s="7"/>
      <c r="O64" s="4"/>
    </row>
    <row r="65" spans="1:15" ht="43.5">
      <c r="A65" s="4"/>
      <c r="B65" s="4"/>
      <c r="C65" s="7"/>
      <c r="D65" s="18" t="s">
        <v>690</v>
      </c>
      <c r="E65" s="18" t="s">
        <v>119</v>
      </c>
      <c r="F65" s="18" t="s">
        <v>691</v>
      </c>
      <c r="G65" s="18" t="s">
        <v>645</v>
      </c>
      <c r="H65" s="18" t="s">
        <v>611</v>
      </c>
      <c r="I65" s="18" t="s">
        <v>617</v>
      </c>
      <c r="J65" s="18"/>
      <c r="K65" s="18"/>
      <c r="L65" s="18"/>
      <c r="M65" s="18"/>
      <c r="N65" s="7"/>
      <c r="O65" s="4"/>
    </row>
    <row r="66" spans="1:15" ht="43.5">
      <c r="A66" s="4"/>
      <c r="B66" s="4"/>
      <c r="C66" s="7"/>
      <c r="D66" s="18" t="s">
        <v>692</v>
      </c>
      <c r="E66" s="18" t="s">
        <v>119</v>
      </c>
      <c r="F66" s="18" t="s">
        <v>693</v>
      </c>
      <c r="G66" s="18" t="s">
        <v>645</v>
      </c>
      <c r="H66" s="18" t="s">
        <v>611</v>
      </c>
      <c r="I66" s="18" t="s">
        <v>617</v>
      </c>
      <c r="J66" s="18"/>
      <c r="K66" s="18"/>
      <c r="L66" s="18"/>
      <c r="M66" s="18"/>
      <c r="N66" s="7"/>
      <c r="O66" s="4"/>
    </row>
    <row r="67" spans="1:15" ht="43.5">
      <c r="A67" s="4"/>
      <c r="B67" s="4"/>
      <c r="C67" s="7"/>
      <c r="D67" s="18" t="s">
        <v>694</v>
      </c>
      <c r="E67" s="18" t="s">
        <v>119</v>
      </c>
      <c r="F67" s="18" t="s">
        <v>695</v>
      </c>
      <c r="G67" s="18" t="s">
        <v>412</v>
      </c>
      <c r="H67" s="18" t="s">
        <v>611</v>
      </c>
      <c r="I67" s="18" t="s">
        <v>617</v>
      </c>
      <c r="J67" s="18"/>
      <c r="K67" s="18"/>
      <c r="L67" s="18"/>
      <c r="M67" s="18"/>
      <c r="N67" s="7"/>
      <c r="O67" s="4"/>
    </row>
    <row r="68" spans="1:15" ht="43.5">
      <c r="A68" s="4"/>
      <c r="B68" s="4"/>
      <c r="C68" s="7"/>
      <c r="D68" s="18" t="s">
        <v>696</v>
      </c>
      <c r="E68" s="18" t="s">
        <v>119</v>
      </c>
      <c r="F68" s="18" t="s">
        <v>697</v>
      </c>
      <c r="G68" s="18" t="s">
        <v>412</v>
      </c>
      <c r="H68" s="18" t="s">
        <v>611</v>
      </c>
      <c r="I68" s="18" t="s">
        <v>617</v>
      </c>
      <c r="J68" s="18"/>
      <c r="K68" s="18"/>
      <c r="L68" s="18"/>
      <c r="M68" s="18"/>
      <c r="N68" s="7"/>
      <c r="O68" s="4"/>
    </row>
    <row r="69" spans="1:15" ht="43.5">
      <c r="A69" s="4"/>
      <c r="B69" s="4"/>
      <c r="C69" s="7"/>
      <c r="D69" s="18" t="s">
        <v>698</v>
      </c>
      <c r="E69" s="18" t="s">
        <v>119</v>
      </c>
      <c r="F69" s="18" t="s">
        <v>699</v>
      </c>
      <c r="G69" s="18" t="s">
        <v>412</v>
      </c>
      <c r="H69" s="18" t="s">
        <v>611</v>
      </c>
      <c r="I69" s="18" t="s">
        <v>617</v>
      </c>
      <c r="J69" s="18"/>
      <c r="K69" s="18"/>
      <c r="L69" s="18"/>
      <c r="M69" s="18"/>
      <c r="N69" s="7"/>
      <c r="O69" s="4"/>
    </row>
    <row r="70" spans="1:15" ht="43.5">
      <c r="A70" s="4"/>
      <c r="B70" s="4"/>
      <c r="C70" s="7"/>
      <c r="D70" s="18" t="s">
        <v>700</v>
      </c>
      <c r="E70" s="18" t="s">
        <v>119</v>
      </c>
      <c r="F70" s="18" t="s">
        <v>701</v>
      </c>
      <c r="G70" s="18" t="s">
        <v>412</v>
      </c>
      <c r="H70" s="18" t="s">
        <v>611</v>
      </c>
      <c r="I70" s="18" t="s">
        <v>617</v>
      </c>
      <c r="J70" s="18"/>
      <c r="K70" s="18"/>
      <c r="L70" s="18"/>
      <c r="M70" s="18"/>
      <c r="N70" s="7"/>
      <c r="O70" s="4"/>
    </row>
    <row r="71" spans="1:15" ht="43.5">
      <c r="A71" s="4"/>
      <c r="B71" s="4"/>
      <c r="C71" s="7"/>
      <c r="D71" s="18" t="s">
        <v>702</v>
      </c>
      <c r="E71" s="18" t="s">
        <v>119</v>
      </c>
      <c r="F71" s="18" t="s">
        <v>703</v>
      </c>
      <c r="G71" s="18" t="s">
        <v>412</v>
      </c>
      <c r="H71" s="18" t="s">
        <v>611</v>
      </c>
      <c r="I71" s="18" t="s">
        <v>617</v>
      </c>
      <c r="J71" s="18"/>
      <c r="K71" s="18"/>
      <c r="L71" s="18"/>
      <c r="M71" s="18"/>
      <c r="N71" s="7"/>
      <c r="O71" s="4"/>
    </row>
    <row r="72" spans="1:15" ht="43.5">
      <c r="A72" s="4"/>
      <c r="B72" s="4"/>
      <c r="C72" s="7"/>
      <c r="D72" s="18" t="s">
        <v>704</v>
      </c>
      <c r="E72" s="18" t="s">
        <v>119</v>
      </c>
      <c r="F72" s="18" t="s">
        <v>705</v>
      </c>
      <c r="G72" s="18" t="s">
        <v>412</v>
      </c>
      <c r="H72" s="18" t="s">
        <v>611</v>
      </c>
      <c r="I72" s="18" t="s">
        <v>617</v>
      </c>
      <c r="J72" s="18"/>
      <c r="K72" s="18"/>
      <c r="L72" s="18"/>
      <c r="M72" s="18"/>
      <c r="N72" s="7"/>
      <c r="O72" s="4"/>
    </row>
    <row r="73" spans="1:15" ht="43.5">
      <c r="A73" s="4"/>
      <c r="B73" s="4"/>
      <c r="C73" s="7"/>
      <c r="D73" s="18" t="s">
        <v>706</v>
      </c>
      <c r="E73" s="18" t="s">
        <v>185</v>
      </c>
      <c r="F73" s="18" t="s">
        <v>707</v>
      </c>
      <c r="G73" s="18" t="s">
        <v>645</v>
      </c>
      <c r="H73" s="18" t="s">
        <v>611</v>
      </c>
      <c r="I73" s="18" t="s">
        <v>617</v>
      </c>
      <c r="J73" s="18"/>
      <c r="K73" s="18"/>
      <c r="L73" s="18"/>
      <c r="M73" s="18"/>
      <c r="N73" s="7"/>
      <c r="O73" s="4"/>
    </row>
    <row r="74" spans="1:15" ht="43.5">
      <c r="A74" s="4"/>
      <c r="B74" s="4"/>
      <c r="C74" s="7"/>
      <c r="D74" s="18" t="s">
        <v>708</v>
      </c>
      <c r="E74" s="18" t="s">
        <v>185</v>
      </c>
      <c r="F74" s="18" t="s">
        <v>709</v>
      </c>
      <c r="G74" s="18" t="s">
        <v>412</v>
      </c>
      <c r="H74" s="18" t="s">
        <v>611</v>
      </c>
      <c r="I74" s="18" t="s">
        <v>617</v>
      </c>
      <c r="J74" s="18"/>
      <c r="K74" s="18"/>
      <c r="L74" s="18"/>
      <c r="M74" s="18"/>
      <c r="N74" s="7"/>
      <c r="O74" s="4"/>
    </row>
    <row r="75" spans="1:15">
      <c r="A75" s="4"/>
      <c r="B75" s="4"/>
      <c r="C75" s="7"/>
      <c r="D75" s="18" t="s">
        <v>710</v>
      </c>
      <c r="E75" s="18" t="s">
        <v>185</v>
      </c>
      <c r="F75" s="18" t="s">
        <v>711</v>
      </c>
      <c r="G75" s="18" t="s">
        <v>610</v>
      </c>
      <c r="H75" s="18"/>
      <c r="I75" s="18"/>
      <c r="J75" s="18"/>
      <c r="K75" s="18"/>
      <c r="L75" s="18"/>
      <c r="M75" s="18"/>
      <c r="N75" s="7"/>
      <c r="O75" s="4"/>
    </row>
    <row r="76" spans="1:15" ht="43.5">
      <c r="A76" s="4"/>
      <c r="B76" s="4"/>
      <c r="C76" s="7"/>
      <c r="D76" s="18" t="s">
        <v>712</v>
      </c>
      <c r="E76" s="18" t="s">
        <v>185</v>
      </c>
      <c r="F76" s="18" t="s">
        <v>713</v>
      </c>
      <c r="G76" s="18" t="s">
        <v>413</v>
      </c>
      <c r="H76" s="18" t="s">
        <v>611</v>
      </c>
      <c r="I76" s="18" t="s">
        <v>617</v>
      </c>
      <c r="J76" s="18"/>
      <c r="K76" s="18"/>
      <c r="L76" s="18"/>
      <c r="M76" s="18"/>
      <c r="N76" s="7"/>
      <c r="O76" s="4"/>
    </row>
    <row r="77" spans="1:15" ht="43.5">
      <c r="A77" s="4"/>
      <c r="B77" s="4"/>
      <c r="C77" s="7"/>
      <c r="D77" s="18" t="s">
        <v>714</v>
      </c>
      <c r="E77" s="18" t="s">
        <v>185</v>
      </c>
      <c r="F77" s="18" t="s">
        <v>715</v>
      </c>
      <c r="G77" s="18" t="s">
        <v>413</v>
      </c>
      <c r="H77" s="18" t="s">
        <v>611</v>
      </c>
      <c r="I77" s="18" t="s">
        <v>617</v>
      </c>
      <c r="J77" s="18"/>
      <c r="K77" s="18"/>
      <c r="L77" s="18"/>
      <c r="M77" s="18"/>
      <c r="N77" s="7"/>
      <c r="O77" s="4"/>
    </row>
    <row r="78" spans="1:15" ht="43.5">
      <c r="A78" s="4"/>
      <c r="B78" s="4"/>
      <c r="C78" s="7"/>
      <c r="D78" s="18" t="s">
        <v>716</v>
      </c>
      <c r="E78" s="18" t="s">
        <v>351</v>
      </c>
      <c r="F78" s="18" t="s">
        <v>373</v>
      </c>
      <c r="G78" s="18" t="s">
        <v>412</v>
      </c>
      <c r="H78" s="18" t="s">
        <v>611</v>
      </c>
      <c r="I78" s="18" t="s">
        <v>617</v>
      </c>
      <c r="J78" s="18"/>
      <c r="K78" s="18"/>
      <c r="L78" s="288"/>
      <c r="M78" s="18"/>
      <c r="N78" s="7"/>
      <c r="O78" s="4"/>
    </row>
    <row r="79" spans="1:15" ht="43.5">
      <c r="A79" s="4"/>
      <c r="B79" s="4"/>
      <c r="C79" s="7"/>
      <c r="D79" s="18" t="s">
        <v>717</v>
      </c>
      <c r="E79" s="18" t="s">
        <v>351</v>
      </c>
      <c r="F79" s="18" t="s">
        <v>374</v>
      </c>
      <c r="G79" s="18" t="s">
        <v>412</v>
      </c>
      <c r="H79" s="18" t="s">
        <v>611</v>
      </c>
      <c r="I79" s="18" t="s">
        <v>617</v>
      </c>
      <c r="J79" s="18"/>
      <c r="K79" s="18"/>
      <c r="L79" s="288"/>
      <c r="M79" s="18"/>
      <c r="N79" s="7"/>
      <c r="O79" s="4"/>
    </row>
    <row r="80" spans="1:15" ht="43.5">
      <c r="A80" s="4"/>
      <c r="B80" s="4"/>
      <c r="C80" s="7"/>
      <c r="D80" s="18" t="s">
        <v>718</v>
      </c>
      <c r="E80" s="18" t="s">
        <v>351</v>
      </c>
      <c r="F80" s="18" t="s">
        <v>375</v>
      </c>
      <c r="G80" s="18" t="s">
        <v>412</v>
      </c>
      <c r="H80" s="18" t="s">
        <v>611</v>
      </c>
      <c r="I80" s="18" t="s">
        <v>617</v>
      </c>
      <c r="J80" s="18"/>
      <c r="K80" s="18"/>
      <c r="L80" s="288"/>
      <c r="M80" s="18"/>
      <c r="N80" s="7"/>
      <c r="O80" s="4"/>
    </row>
    <row r="81" spans="1:15" ht="43.5">
      <c r="A81" s="4"/>
      <c r="B81" s="4"/>
      <c r="C81" s="7"/>
      <c r="D81" s="18" t="s">
        <v>719</v>
      </c>
      <c r="E81" s="18" t="s">
        <v>351</v>
      </c>
      <c r="F81" s="18" t="s">
        <v>376</v>
      </c>
      <c r="G81" s="18" t="s">
        <v>412</v>
      </c>
      <c r="H81" s="18" t="s">
        <v>611</v>
      </c>
      <c r="I81" s="18" t="s">
        <v>617</v>
      </c>
      <c r="J81" s="18"/>
      <c r="K81" s="18"/>
      <c r="L81" s="288"/>
      <c r="M81" s="18"/>
      <c r="N81" s="7"/>
      <c r="O81" s="4"/>
    </row>
    <row r="82" spans="1:15" ht="43.5">
      <c r="A82" s="4"/>
      <c r="B82" s="4"/>
      <c r="C82" s="7"/>
      <c r="D82" s="18" t="s">
        <v>720</v>
      </c>
      <c r="E82" s="18" t="s">
        <v>351</v>
      </c>
      <c r="F82" s="18" t="s">
        <v>377</v>
      </c>
      <c r="G82" s="18" t="s">
        <v>721</v>
      </c>
      <c r="H82" s="18" t="s">
        <v>611</v>
      </c>
      <c r="I82" s="18" t="s">
        <v>617</v>
      </c>
      <c r="J82" s="18"/>
      <c r="K82" s="18"/>
      <c r="L82" s="288"/>
      <c r="M82" s="18"/>
      <c r="N82" s="7"/>
      <c r="O82" s="4"/>
    </row>
    <row r="83" spans="1:15" ht="43.5">
      <c r="A83" s="4"/>
      <c r="B83" s="4"/>
      <c r="C83" s="7"/>
      <c r="D83" s="18" t="s">
        <v>722</v>
      </c>
      <c r="E83" s="18" t="s">
        <v>351</v>
      </c>
      <c r="F83" s="18" t="s">
        <v>378</v>
      </c>
      <c r="G83" s="18" t="s">
        <v>721</v>
      </c>
      <c r="H83" s="18" t="s">
        <v>611</v>
      </c>
      <c r="I83" s="18" t="s">
        <v>617</v>
      </c>
      <c r="J83" s="18"/>
      <c r="K83" s="18"/>
      <c r="L83" s="288"/>
      <c r="M83" s="18"/>
      <c r="N83" s="7"/>
      <c r="O83" s="4"/>
    </row>
    <row r="84" spans="1:15" ht="43.5">
      <c r="A84" s="4"/>
      <c r="B84" s="4"/>
      <c r="C84" s="7"/>
      <c r="D84" s="18" t="s">
        <v>723</v>
      </c>
      <c r="E84" s="18" t="s">
        <v>351</v>
      </c>
      <c r="F84" s="18" t="s">
        <v>380</v>
      </c>
      <c r="G84" s="18" t="s">
        <v>645</v>
      </c>
      <c r="H84" s="18" t="s">
        <v>611</v>
      </c>
      <c r="I84" s="18" t="s">
        <v>617</v>
      </c>
      <c r="J84" s="18"/>
      <c r="K84" s="18"/>
      <c r="L84" s="288"/>
      <c r="M84" s="18"/>
      <c r="N84" s="7"/>
      <c r="O84" s="4"/>
    </row>
    <row r="85" spans="1:15" ht="43.5">
      <c r="A85" s="4"/>
      <c r="B85" s="4"/>
      <c r="C85" s="7"/>
      <c r="D85" s="18" t="s">
        <v>724</v>
      </c>
      <c r="E85" s="18" t="s">
        <v>351</v>
      </c>
      <c r="F85" s="18" t="s">
        <v>725</v>
      </c>
      <c r="G85" s="18" t="s">
        <v>645</v>
      </c>
      <c r="H85" s="18" t="s">
        <v>611</v>
      </c>
      <c r="I85" s="18" t="s">
        <v>617</v>
      </c>
      <c r="J85" s="18"/>
      <c r="K85" s="18"/>
      <c r="L85" s="288"/>
      <c r="M85" s="18"/>
      <c r="N85" s="7"/>
      <c r="O85" s="4"/>
    </row>
    <row r="86" spans="1:15" ht="43.5">
      <c r="A86" s="4"/>
      <c r="B86" s="4"/>
      <c r="C86" s="7"/>
      <c r="D86" s="18" t="s">
        <v>726</v>
      </c>
      <c r="E86" s="18" t="s">
        <v>351</v>
      </c>
      <c r="F86" s="18" t="s">
        <v>382</v>
      </c>
      <c r="G86" s="18" t="s">
        <v>645</v>
      </c>
      <c r="H86" s="18" t="s">
        <v>611</v>
      </c>
      <c r="I86" s="18" t="s">
        <v>617</v>
      </c>
      <c r="J86" s="18"/>
      <c r="K86" s="18"/>
      <c r="L86" s="288"/>
      <c r="M86" s="18"/>
      <c r="N86" s="7"/>
      <c r="O86" s="4"/>
    </row>
    <row r="87" spans="1:15" ht="43.5">
      <c r="A87" s="4"/>
      <c r="B87" s="4"/>
      <c r="C87" s="7"/>
      <c r="D87" s="18" t="s">
        <v>727</v>
      </c>
      <c r="E87" s="18" t="s">
        <v>351</v>
      </c>
      <c r="F87" s="18" t="s">
        <v>383</v>
      </c>
      <c r="G87" s="18" t="s">
        <v>645</v>
      </c>
      <c r="H87" s="18" t="s">
        <v>611</v>
      </c>
      <c r="I87" s="18" t="s">
        <v>617</v>
      </c>
      <c r="J87" s="18"/>
      <c r="K87" s="18"/>
      <c r="L87" s="288"/>
      <c r="M87" s="18"/>
      <c r="N87" s="7"/>
      <c r="O87" s="4"/>
    </row>
    <row r="88" spans="1:15" ht="43.5">
      <c r="A88" s="4"/>
      <c r="B88" s="4"/>
      <c r="C88" s="7"/>
      <c r="D88" s="18" t="s">
        <v>728</v>
      </c>
      <c r="E88" s="18" t="s">
        <v>351</v>
      </c>
      <c r="F88" s="18" t="s">
        <v>729</v>
      </c>
      <c r="G88" s="18" t="s">
        <v>412</v>
      </c>
      <c r="H88" s="18" t="s">
        <v>611</v>
      </c>
      <c r="I88" s="18" t="s">
        <v>617</v>
      </c>
      <c r="J88" s="18"/>
      <c r="K88" s="18"/>
      <c r="L88" s="288"/>
      <c r="M88" s="18"/>
      <c r="N88" s="7"/>
      <c r="O88" s="4"/>
    </row>
    <row r="89" spans="1:15" ht="43.5">
      <c r="A89" s="4"/>
      <c r="B89" s="4"/>
      <c r="C89" s="7"/>
      <c r="D89" s="18" t="s">
        <v>730</v>
      </c>
      <c r="E89" s="18" t="s">
        <v>351</v>
      </c>
      <c r="F89" s="18" t="s">
        <v>387</v>
      </c>
      <c r="G89" s="18" t="s">
        <v>645</v>
      </c>
      <c r="H89" s="18" t="s">
        <v>611</v>
      </c>
      <c r="I89" s="18" t="s">
        <v>617</v>
      </c>
      <c r="J89" s="18"/>
      <c r="K89" s="18"/>
      <c r="L89" s="288"/>
      <c r="M89" s="18"/>
      <c r="N89" s="7"/>
      <c r="O89" s="4"/>
    </row>
    <row r="90" spans="1:15" ht="43.5">
      <c r="A90" s="4"/>
      <c r="B90" s="4"/>
      <c r="C90" s="7"/>
      <c r="D90" s="18" t="s">
        <v>731</v>
      </c>
      <c r="E90" s="18" t="s">
        <v>732</v>
      </c>
      <c r="F90" s="18" t="s">
        <v>379</v>
      </c>
      <c r="G90" s="18" t="s">
        <v>721</v>
      </c>
      <c r="H90" s="18" t="s">
        <v>611</v>
      </c>
      <c r="I90" s="18" t="s">
        <v>617</v>
      </c>
      <c r="J90" s="18"/>
      <c r="K90" s="18"/>
      <c r="L90" s="379"/>
      <c r="M90" s="18"/>
      <c r="N90" s="7"/>
      <c r="O90" s="4"/>
    </row>
    <row r="91" spans="1:15" ht="43.5">
      <c r="A91" s="4"/>
      <c r="B91" s="4"/>
      <c r="C91" s="7"/>
      <c r="D91" s="18" t="s">
        <v>733</v>
      </c>
      <c r="E91" s="18" t="s">
        <v>732</v>
      </c>
      <c r="F91" s="111" t="s">
        <v>734</v>
      </c>
      <c r="G91" s="18" t="s">
        <v>610</v>
      </c>
      <c r="H91" s="18" t="s">
        <v>611</v>
      </c>
      <c r="I91" s="18" t="s">
        <v>617</v>
      </c>
      <c r="J91" s="18" t="s">
        <v>475</v>
      </c>
      <c r="K91" s="18" t="s">
        <v>482</v>
      </c>
      <c r="L91" s="18"/>
      <c r="M91" s="18"/>
      <c r="N91" s="7"/>
      <c r="O91" s="4"/>
    </row>
    <row r="92" spans="1:15" ht="43.5">
      <c r="A92" s="4"/>
      <c r="B92" s="4"/>
      <c r="C92" s="7"/>
      <c r="D92" s="18" t="s">
        <v>735</v>
      </c>
      <c r="E92" s="18" t="s">
        <v>732</v>
      </c>
      <c r="F92" s="111" t="s">
        <v>736</v>
      </c>
      <c r="G92" s="18" t="s">
        <v>610</v>
      </c>
      <c r="H92" s="18" t="s">
        <v>611</v>
      </c>
      <c r="I92" s="18" t="s">
        <v>617</v>
      </c>
      <c r="J92" s="18" t="s">
        <v>475</v>
      </c>
      <c r="K92" s="18" t="s">
        <v>482</v>
      </c>
      <c r="L92" s="18"/>
      <c r="M92" s="18"/>
      <c r="N92" s="7"/>
      <c r="O92" s="4"/>
    </row>
    <row r="93" spans="1:15" ht="43.5">
      <c r="A93" s="4"/>
      <c r="B93" s="4"/>
      <c r="C93" s="7"/>
      <c r="D93" s="18" t="s">
        <v>737</v>
      </c>
      <c r="E93" s="18" t="s">
        <v>732</v>
      </c>
      <c r="F93" s="111" t="s">
        <v>738</v>
      </c>
      <c r="G93" s="18" t="s">
        <v>610</v>
      </c>
      <c r="H93" s="18" t="s">
        <v>611</v>
      </c>
      <c r="I93" s="18" t="s">
        <v>617</v>
      </c>
      <c r="J93" s="18" t="s">
        <v>475</v>
      </c>
      <c r="K93" s="18" t="s">
        <v>482</v>
      </c>
      <c r="L93" s="18"/>
      <c r="M93" s="18"/>
      <c r="N93" s="7"/>
      <c r="O93" s="4"/>
    </row>
    <row r="94" spans="1:15" ht="43.5">
      <c r="A94" s="4"/>
      <c r="B94" s="4"/>
      <c r="C94" s="7"/>
      <c r="D94" s="18" t="s">
        <v>739</v>
      </c>
      <c r="E94" s="18" t="s">
        <v>732</v>
      </c>
      <c r="F94" s="111" t="s">
        <v>740</v>
      </c>
      <c r="G94" s="18" t="s">
        <v>610</v>
      </c>
      <c r="H94" s="18" t="s">
        <v>611</v>
      </c>
      <c r="I94" s="18" t="s">
        <v>617</v>
      </c>
      <c r="J94" s="18" t="s">
        <v>475</v>
      </c>
      <c r="K94" s="18" t="s">
        <v>482</v>
      </c>
      <c r="L94" s="18"/>
      <c r="M94" s="18"/>
      <c r="N94" s="7"/>
      <c r="O94" s="4"/>
    </row>
    <row r="95" spans="1:15" ht="43.5">
      <c r="A95" s="4"/>
      <c r="B95" s="4"/>
      <c r="C95" s="7"/>
      <c r="D95" s="18" t="s">
        <v>741</v>
      </c>
      <c r="E95" s="18" t="s">
        <v>732</v>
      </c>
      <c r="F95" s="111" t="s">
        <v>742</v>
      </c>
      <c r="G95" s="18" t="s">
        <v>610</v>
      </c>
      <c r="H95" s="18" t="s">
        <v>611</v>
      </c>
      <c r="I95" s="18" t="s">
        <v>617</v>
      </c>
      <c r="J95" s="18" t="s">
        <v>475</v>
      </c>
      <c r="K95" s="18" t="s">
        <v>482</v>
      </c>
      <c r="L95" s="18"/>
      <c r="M95" s="18"/>
      <c r="N95" s="7"/>
      <c r="O95" s="4"/>
    </row>
    <row r="96" spans="1:15" ht="43.5">
      <c r="A96" s="4"/>
      <c r="B96" s="4"/>
      <c r="C96" s="7"/>
      <c r="D96" s="18" t="s">
        <v>743</v>
      </c>
      <c r="E96" s="18" t="s">
        <v>732</v>
      </c>
      <c r="F96" s="111" t="s">
        <v>744</v>
      </c>
      <c r="G96" s="18" t="s">
        <v>610</v>
      </c>
      <c r="H96" s="18" t="s">
        <v>611</v>
      </c>
      <c r="I96" s="18" t="s">
        <v>617</v>
      </c>
      <c r="J96" s="18" t="s">
        <v>475</v>
      </c>
      <c r="K96" s="18" t="s">
        <v>482</v>
      </c>
      <c r="L96" s="18"/>
      <c r="M96" s="18"/>
      <c r="N96" s="7"/>
      <c r="O96" s="4"/>
    </row>
    <row r="97" spans="1:15" ht="43.5">
      <c r="A97" s="4"/>
      <c r="B97" s="4"/>
      <c r="C97" s="7"/>
      <c r="D97" s="18" t="s">
        <v>745</v>
      </c>
      <c r="E97" s="18" t="s">
        <v>732</v>
      </c>
      <c r="F97" s="111" t="s">
        <v>395</v>
      </c>
      <c r="G97" s="18" t="s">
        <v>610</v>
      </c>
      <c r="H97" s="18" t="s">
        <v>611</v>
      </c>
      <c r="I97" s="18" t="s">
        <v>617</v>
      </c>
      <c r="J97" s="18" t="s">
        <v>475</v>
      </c>
      <c r="K97" s="18" t="s">
        <v>482</v>
      </c>
      <c r="L97" s="18"/>
      <c r="M97" s="18"/>
      <c r="N97" s="7"/>
      <c r="O97" s="4"/>
    </row>
    <row r="98" spans="1:15" ht="43.5">
      <c r="A98" s="4"/>
      <c r="B98" s="4"/>
      <c r="C98" s="7"/>
      <c r="D98" s="18" t="s">
        <v>746</v>
      </c>
      <c r="E98" s="18" t="s">
        <v>732</v>
      </c>
      <c r="F98" s="111" t="s">
        <v>747</v>
      </c>
      <c r="G98" s="18" t="s">
        <v>610</v>
      </c>
      <c r="H98" s="18" t="s">
        <v>611</v>
      </c>
      <c r="I98" s="18" t="s">
        <v>617</v>
      </c>
      <c r="J98" s="18" t="s">
        <v>475</v>
      </c>
      <c r="K98" s="18" t="s">
        <v>482</v>
      </c>
      <c r="L98" s="18"/>
      <c r="M98" s="18"/>
      <c r="N98" s="7"/>
      <c r="O98" s="4"/>
    </row>
    <row r="99" spans="1:15" ht="43.5">
      <c r="A99" s="4"/>
      <c r="B99" s="4"/>
      <c r="C99" s="7"/>
      <c r="D99" s="18" t="s">
        <v>748</v>
      </c>
      <c r="E99" s="18" t="s">
        <v>732</v>
      </c>
      <c r="F99" s="111" t="s">
        <v>749</v>
      </c>
      <c r="G99" s="18" t="s">
        <v>610</v>
      </c>
      <c r="H99" s="18" t="s">
        <v>611</v>
      </c>
      <c r="I99" s="18" t="s">
        <v>617</v>
      </c>
      <c r="J99" s="18" t="s">
        <v>475</v>
      </c>
      <c r="K99" s="18" t="s">
        <v>482</v>
      </c>
      <c r="L99" s="18"/>
      <c r="M99" s="18"/>
      <c r="N99" s="7"/>
      <c r="O99" s="4"/>
    </row>
    <row r="100" spans="1:15" ht="29.1">
      <c r="A100" s="4"/>
      <c r="B100" s="4"/>
      <c r="C100" s="7"/>
      <c r="D100" s="18" t="s">
        <v>750</v>
      </c>
      <c r="E100" s="18" t="s">
        <v>751</v>
      </c>
      <c r="F100" s="18" t="s">
        <v>752</v>
      </c>
      <c r="G100" s="18" t="s">
        <v>412</v>
      </c>
      <c r="H100" s="18"/>
      <c r="I100" s="18"/>
      <c r="J100" s="18"/>
      <c r="K100" s="18"/>
      <c r="L100" s="18"/>
      <c r="M100" s="18"/>
      <c r="N100" s="7"/>
      <c r="O100" s="4"/>
    </row>
    <row r="101" spans="1:15" ht="29.1">
      <c r="A101" s="4"/>
      <c r="B101" s="4"/>
      <c r="C101" s="7"/>
      <c r="D101" s="18" t="s">
        <v>753</v>
      </c>
      <c r="E101" s="18" t="s">
        <v>751</v>
      </c>
      <c r="F101" s="18" t="s">
        <v>754</v>
      </c>
      <c r="G101" s="18" t="s">
        <v>721</v>
      </c>
      <c r="H101" s="18"/>
      <c r="I101" s="18"/>
      <c r="J101" s="18"/>
      <c r="K101" s="18"/>
      <c r="L101" s="18"/>
      <c r="M101" s="18"/>
      <c r="N101" s="7"/>
      <c r="O101" s="4"/>
    </row>
    <row r="102" spans="1:15" ht="29.1">
      <c r="A102" s="4"/>
      <c r="B102" s="4"/>
      <c r="C102" s="7"/>
      <c r="D102" s="18" t="s">
        <v>755</v>
      </c>
      <c r="E102" s="18" t="s">
        <v>751</v>
      </c>
      <c r="F102" s="18" t="s">
        <v>756</v>
      </c>
      <c r="G102" s="18" t="s">
        <v>412</v>
      </c>
      <c r="H102" s="18"/>
      <c r="I102" s="18"/>
      <c r="J102" s="18"/>
      <c r="K102" s="18"/>
      <c r="L102" s="18"/>
      <c r="M102" s="18"/>
      <c r="N102" s="7"/>
      <c r="O102" s="4"/>
    </row>
    <row r="103" spans="1:15" ht="29.1">
      <c r="A103" s="4"/>
      <c r="B103" s="4"/>
      <c r="C103" s="7"/>
      <c r="D103" s="18" t="s">
        <v>757</v>
      </c>
      <c r="E103" s="18" t="s">
        <v>751</v>
      </c>
      <c r="F103" s="18" t="s">
        <v>758</v>
      </c>
      <c r="G103" s="18" t="s">
        <v>412</v>
      </c>
      <c r="H103" s="18"/>
      <c r="I103" s="18"/>
      <c r="J103" s="18"/>
      <c r="K103" s="18"/>
      <c r="L103" s="18"/>
      <c r="M103" s="18"/>
      <c r="N103" s="7"/>
      <c r="O103" s="4"/>
    </row>
    <row r="104" spans="1:15" ht="29.1">
      <c r="A104" s="4"/>
      <c r="B104" s="4"/>
      <c r="C104" s="7"/>
      <c r="D104" s="18" t="s">
        <v>759</v>
      </c>
      <c r="E104" s="18" t="s">
        <v>751</v>
      </c>
      <c r="F104" s="18" t="s">
        <v>760</v>
      </c>
      <c r="G104" s="18" t="s">
        <v>412</v>
      </c>
      <c r="H104" s="18"/>
      <c r="I104" s="18"/>
      <c r="J104" s="18"/>
      <c r="K104" s="18"/>
      <c r="L104" s="18"/>
      <c r="M104" s="18"/>
      <c r="N104" s="7"/>
      <c r="O104" s="4"/>
    </row>
    <row r="105" spans="1:15" ht="43.5">
      <c r="A105" s="4"/>
      <c r="B105" s="4"/>
      <c r="C105" s="7"/>
      <c r="D105" s="18" t="s">
        <v>761</v>
      </c>
      <c r="E105" s="18" t="s">
        <v>751</v>
      </c>
      <c r="F105" s="18" t="s">
        <v>762</v>
      </c>
      <c r="G105" s="18" t="s">
        <v>412</v>
      </c>
      <c r="H105" s="18"/>
      <c r="I105" s="18"/>
      <c r="J105" s="18"/>
      <c r="K105" s="18"/>
      <c r="L105" s="18"/>
      <c r="M105" s="18"/>
      <c r="N105" s="7"/>
      <c r="O105" s="4"/>
    </row>
    <row r="106" spans="1:15" ht="29.1">
      <c r="A106" s="4"/>
      <c r="B106" s="4"/>
      <c r="C106" s="7"/>
      <c r="D106" s="18" t="s">
        <v>763</v>
      </c>
      <c r="E106" s="18" t="s">
        <v>751</v>
      </c>
      <c r="F106" s="18" t="s">
        <v>764</v>
      </c>
      <c r="G106" s="18" t="s">
        <v>412</v>
      </c>
      <c r="H106" s="18"/>
      <c r="I106" s="18"/>
      <c r="J106" s="18"/>
      <c r="K106" s="18"/>
      <c r="L106" s="18"/>
      <c r="M106" s="18"/>
      <c r="N106" s="7"/>
      <c r="O106" s="4"/>
    </row>
    <row r="107" spans="1:15" ht="43.5">
      <c r="A107" s="4"/>
      <c r="B107" s="4"/>
      <c r="C107" s="7"/>
      <c r="D107" s="18" t="s">
        <v>765</v>
      </c>
      <c r="E107" s="18" t="s">
        <v>751</v>
      </c>
      <c r="F107" s="18" t="s">
        <v>766</v>
      </c>
      <c r="G107" s="18" t="s">
        <v>412</v>
      </c>
      <c r="H107" s="18"/>
      <c r="I107" s="18"/>
      <c r="J107" s="18"/>
      <c r="K107" s="18"/>
      <c r="L107" s="18"/>
      <c r="M107" s="18"/>
      <c r="N107" s="7"/>
      <c r="O107" s="4"/>
    </row>
    <row r="108" spans="1:15" ht="29.1">
      <c r="A108" s="4"/>
      <c r="B108" s="4"/>
      <c r="C108" s="7"/>
      <c r="D108" s="18" t="s">
        <v>767</v>
      </c>
      <c r="E108" s="18" t="s">
        <v>751</v>
      </c>
      <c r="F108" s="18" t="s">
        <v>768</v>
      </c>
      <c r="G108" s="18" t="s">
        <v>412</v>
      </c>
      <c r="H108" s="18"/>
      <c r="I108" s="18"/>
      <c r="J108" s="18"/>
      <c r="K108" s="18"/>
      <c r="L108" s="18"/>
      <c r="M108" s="18"/>
      <c r="N108" s="7"/>
      <c r="O108" s="4"/>
    </row>
    <row r="109" spans="1:15" ht="29.1">
      <c r="A109" s="4"/>
      <c r="B109" s="4"/>
      <c r="C109" s="7"/>
      <c r="D109" s="18" t="s">
        <v>769</v>
      </c>
      <c r="E109" s="18" t="s">
        <v>751</v>
      </c>
      <c r="F109" s="18" t="s">
        <v>770</v>
      </c>
      <c r="G109" s="18" t="s">
        <v>412</v>
      </c>
      <c r="H109" s="18"/>
      <c r="I109" s="18"/>
      <c r="J109" s="18"/>
      <c r="K109" s="18"/>
      <c r="L109" s="18"/>
      <c r="M109" s="18"/>
      <c r="N109" s="7"/>
      <c r="O109" s="4"/>
    </row>
    <row r="110" spans="1:15" ht="29.1">
      <c r="A110" s="4"/>
      <c r="B110" s="4"/>
      <c r="C110" s="7"/>
      <c r="D110" s="18" t="s">
        <v>771</v>
      </c>
      <c r="E110" s="18" t="s">
        <v>751</v>
      </c>
      <c r="F110" s="18" t="s">
        <v>772</v>
      </c>
      <c r="G110" s="18" t="s">
        <v>773</v>
      </c>
      <c r="H110" s="18"/>
      <c r="I110" s="18"/>
      <c r="J110" s="18"/>
      <c r="K110" s="18"/>
      <c r="L110" s="18"/>
      <c r="M110" s="18"/>
      <c r="N110" s="7"/>
      <c r="O110" s="4"/>
    </row>
    <row r="111" spans="1:15" ht="43.5">
      <c r="A111" s="4"/>
      <c r="B111" s="4"/>
      <c r="C111" s="7"/>
      <c r="D111" s="18" t="s">
        <v>774</v>
      </c>
      <c r="E111" s="18" t="s">
        <v>751</v>
      </c>
      <c r="F111" s="18" t="s">
        <v>775</v>
      </c>
      <c r="G111" s="18" t="s">
        <v>773</v>
      </c>
      <c r="H111" s="18" t="s">
        <v>611</v>
      </c>
      <c r="I111" s="18" t="s">
        <v>617</v>
      </c>
      <c r="J111" s="18"/>
      <c r="K111" s="18"/>
      <c r="L111" s="18"/>
      <c r="M111" s="18"/>
      <c r="N111" s="7"/>
      <c r="O111" s="4"/>
    </row>
    <row r="112" spans="1:15" ht="43.5">
      <c r="A112" s="4"/>
      <c r="B112" s="4"/>
      <c r="C112" s="7"/>
      <c r="D112" s="18" t="s">
        <v>776</v>
      </c>
      <c r="E112" s="18" t="s">
        <v>751</v>
      </c>
      <c r="F112" s="18" t="s">
        <v>777</v>
      </c>
      <c r="G112" s="18" t="s">
        <v>721</v>
      </c>
      <c r="H112" s="18" t="s">
        <v>611</v>
      </c>
      <c r="I112" s="18" t="s">
        <v>617</v>
      </c>
      <c r="J112" s="18"/>
      <c r="K112" s="18"/>
      <c r="L112" s="18"/>
      <c r="M112" s="18"/>
      <c r="N112" s="7"/>
      <c r="O112" s="4"/>
    </row>
    <row r="113" spans="1:15" ht="29.1">
      <c r="A113" s="4"/>
      <c r="B113" s="4"/>
      <c r="C113" s="7"/>
      <c r="D113" s="18" t="s">
        <v>778</v>
      </c>
      <c r="E113" s="18" t="s">
        <v>751</v>
      </c>
      <c r="F113" s="18" t="s">
        <v>779</v>
      </c>
      <c r="G113" s="18" t="s">
        <v>645</v>
      </c>
      <c r="H113" s="18"/>
      <c r="I113" s="18"/>
      <c r="J113" s="18"/>
      <c r="K113" s="18"/>
      <c r="L113" s="18"/>
      <c r="M113" s="18"/>
      <c r="N113" s="7"/>
      <c r="O113" s="4"/>
    </row>
    <row r="114" spans="1:15" ht="43.5">
      <c r="A114" s="4"/>
      <c r="B114" s="4"/>
      <c r="C114" s="7"/>
      <c r="D114" s="18" t="s">
        <v>780</v>
      </c>
      <c r="E114" s="18" t="s">
        <v>350</v>
      </c>
      <c r="F114" s="18" t="s">
        <v>781</v>
      </c>
      <c r="G114" s="18" t="s">
        <v>412</v>
      </c>
      <c r="H114" s="18" t="s">
        <v>611</v>
      </c>
      <c r="I114" s="18" t="s">
        <v>617</v>
      </c>
      <c r="J114" s="18"/>
      <c r="K114" s="18"/>
      <c r="L114" s="18"/>
      <c r="M114" s="18"/>
      <c r="N114" s="7"/>
      <c r="O114" s="4"/>
    </row>
    <row r="115" spans="1:15" ht="43.5">
      <c r="A115" s="4"/>
      <c r="B115" s="4"/>
      <c r="C115" s="7"/>
      <c r="D115" s="18" t="s">
        <v>782</v>
      </c>
      <c r="E115" s="18" t="s">
        <v>350</v>
      </c>
      <c r="F115" s="18" t="s">
        <v>783</v>
      </c>
      <c r="G115" s="18" t="s">
        <v>412</v>
      </c>
      <c r="H115" s="18" t="s">
        <v>611</v>
      </c>
      <c r="I115" s="18" t="s">
        <v>617</v>
      </c>
      <c r="J115" s="18"/>
      <c r="K115" s="18"/>
      <c r="L115" s="18"/>
      <c r="M115" s="18"/>
      <c r="N115" s="7"/>
      <c r="O115" s="4"/>
    </row>
    <row r="116" spans="1:15" ht="43.5">
      <c r="A116" s="4"/>
      <c r="B116" s="4"/>
      <c r="C116" s="7"/>
      <c r="D116" s="18" t="s">
        <v>784</v>
      </c>
      <c r="E116" s="18" t="s">
        <v>350</v>
      </c>
      <c r="F116" s="18" t="s">
        <v>785</v>
      </c>
      <c r="G116" s="18" t="s">
        <v>412</v>
      </c>
      <c r="H116" s="18" t="s">
        <v>611</v>
      </c>
      <c r="I116" s="18" t="s">
        <v>617</v>
      </c>
      <c r="J116" s="18"/>
      <c r="K116" s="18"/>
      <c r="L116" s="18"/>
      <c r="M116" s="18"/>
      <c r="N116" s="7"/>
      <c r="O116" s="4"/>
    </row>
    <row r="117" spans="1:15" ht="43.5">
      <c r="A117" s="4"/>
      <c r="B117" s="4"/>
      <c r="C117" s="7"/>
      <c r="D117" s="18" t="s">
        <v>786</v>
      </c>
      <c r="E117" s="18" t="s">
        <v>350</v>
      </c>
      <c r="F117" s="18" t="s">
        <v>787</v>
      </c>
      <c r="G117" s="18" t="s">
        <v>412</v>
      </c>
      <c r="H117" s="18" t="s">
        <v>611</v>
      </c>
      <c r="I117" s="18" t="s">
        <v>617</v>
      </c>
      <c r="J117" s="18"/>
      <c r="K117" s="18"/>
      <c r="L117" s="18"/>
      <c r="M117" s="18"/>
      <c r="N117" s="7"/>
      <c r="O117" s="4"/>
    </row>
    <row r="118" spans="1:15" ht="43.5">
      <c r="A118" s="4"/>
      <c r="B118" s="4"/>
      <c r="C118" s="7"/>
      <c r="D118" s="18" t="s">
        <v>788</v>
      </c>
      <c r="E118" s="18" t="s">
        <v>350</v>
      </c>
      <c r="F118" s="18" t="s">
        <v>789</v>
      </c>
      <c r="G118" s="18" t="s">
        <v>412</v>
      </c>
      <c r="H118" s="18" t="s">
        <v>611</v>
      </c>
      <c r="I118" s="18" t="s">
        <v>617</v>
      </c>
      <c r="J118" s="18"/>
      <c r="K118" s="18"/>
      <c r="L118" s="18"/>
      <c r="M118" s="18"/>
      <c r="N118" s="7"/>
      <c r="O118" s="4"/>
    </row>
    <row r="119" spans="1:15" ht="43.5">
      <c r="A119" s="4"/>
      <c r="B119" s="4"/>
      <c r="C119" s="7"/>
      <c r="D119" s="18" t="s">
        <v>790</v>
      </c>
      <c r="E119" s="18" t="s">
        <v>217</v>
      </c>
      <c r="F119" s="18" t="s">
        <v>791</v>
      </c>
      <c r="G119" s="18" t="s">
        <v>610</v>
      </c>
      <c r="H119" s="18" t="s">
        <v>611</v>
      </c>
      <c r="I119" s="18" t="s">
        <v>612</v>
      </c>
      <c r="J119" s="18"/>
      <c r="K119" s="18"/>
      <c r="L119" s="18"/>
      <c r="M119" s="18"/>
      <c r="N119" s="7"/>
      <c r="O119" s="4"/>
    </row>
    <row r="120" spans="1:15" ht="43.5">
      <c r="A120" s="4"/>
      <c r="B120" s="4"/>
      <c r="C120" s="7"/>
      <c r="D120" s="18" t="s">
        <v>778</v>
      </c>
      <c r="E120" s="18" t="s">
        <v>732</v>
      </c>
      <c r="F120" s="84" t="s">
        <v>792</v>
      </c>
      <c r="G120" s="18" t="s">
        <v>610</v>
      </c>
      <c r="H120" s="18" t="s">
        <v>611</v>
      </c>
      <c r="I120" s="18" t="s">
        <v>617</v>
      </c>
      <c r="J120" s="18"/>
      <c r="K120" s="18"/>
      <c r="L120" s="18"/>
      <c r="M120" s="18"/>
      <c r="N120" s="7"/>
      <c r="O120" s="4"/>
    </row>
    <row r="121" spans="1:15">
      <c r="A121" s="4"/>
      <c r="B121" s="4"/>
      <c r="C121" s="7"/>
      <c r="D121" s="99"/>
      <c r="E121" s="99"/>
      <c r="F121" s="99"/>
      <c r="G121" s="99"/>
      <c r="H121" s="99"/>
      <c r="I121" s="99"/>
      <c r="J121" s="99"/>
      <c r="K121" s="99"/>
      <c r="L121" s="99"/>
      <c r="M121" s="99"/>
      <c r="N121" s="7"/>
      <c r="O121" s="4"/>
    </row>
    <row r="122" spans="1:15">
      <c r="A122" s="4"/>
      <c r="B122" s="4"/>
      <c r="C122" s="4"/>
      <c r="D122" s="4"/>
      <c r="E122" s="4"/>
      <c r="F122" s="4"/>
      <c r="G122" s="4"/>
      <c r="H122" s="4"/>
      <c r="I122" s="4"/>
      <c r="J122" s="4"/>
      <c r="K122" s="4"/>
      <c r="L122" s="8"/>
      <c r="M122" s="4"/>
      <c r="N122" s="4"/>
      <c r="O122" s="4"/>
    </row>
    <row r="123" spans="1:15" ht="18.600000000000001">
      <c r="A123" s="102"/>
      <c r="B123" s="102"/>
      <c r="C123" s="102" t="s">
        <v>78</v>
      </c>
      <c r="D123" s="102"/>
      <c r="E123" s="102"/>
      <c r="F123" s="102"/>
      <c r="G123" s="102"/>
      <c r="H123" s="102"/>
      <c r="I123" s="102"/>
      <c r="J123" s="102"/>
      <c r="K123" s="102"/>
      <c r="L123" s="174"/>
      <c r="M123" s="102"/>
      <c r="N123" s="102"/>
      <c r="O123" s="102"/>
    </row>
    <row r="124" spans="1:15" outlineLevel="1">
      <c r="A124" s="4"/>
      <c r="B124" s="4"/>
      <c r="C124" s="4"/>
      <c r="D124" s="4"/>
      <c r="E124" s="4"/>
      <c r="F124" s="4"/>
      <c r="G124" s="4"/>
      <c r="H124" s="4"/>
      <c r="I124" s="4"/>
      <c r="J124" s="4"/>
      <c r="K124" s="4"/>
      <c r="L124" s="8"/>
      <c r="M124" s="4"/>
      <c r="N124" s="4"/>
      <c r="O124" s="4"/>
    </row>
    <row r="125" spans="1:15" ht="16.5" outlineLevel="1">
      <c r="A125" s="4"/>
      <c r="B125" s="4"/>
      <c r="C125" s="169"/>
      <c r="D125" s="644" t="s">
        <v>793</v>
      </c>
      <c r="E125" s="644"/>
      <c r="F125" s="644"/>
      <c r="G125" s="93"/>
      <c r="H125" s="7"/>
      <c r="I125" s="7"/>
      <c r="J125" s="7"/>
      <c r="K125" s="7"/>
      <c r="L125" s="54"/>
      <c r="M125" s="7"/>
      <c r="N125" s="7"/>
      <c r="O125" s="4"/>
    </row>
    <row r="126" spans="1:15" ht="16.5" outlineLevel="1">
      <c r="A126" s="4"/>
      <c r="B126" s="4"/>
      <c r="C126" s="169">
        <v>1</v>
      </c>
      <c r="D126" s="70" t="s">
        <v>794</v>
      </c>
      <c r="E126" s="7"/>
      <c r="F126" s="7"/>
      <c r="G126" s="93"/>
      <c r="H126" s="7"/>
      <c r="I126" s="7"/>
      <c r="J126" s="7"/>
      <c r="K126" s="7"/>
      <c r="L126" s="54"/>
      <c r="M126" s="7"/>
      <c r="N126" s="7"/>
      <c r="O126" s="4"/>
    </row>
    <row r="127" spans="1:15" ht="16.5" outlineLevel="1">
      <c r="A127" s="4"/>
      <c r="B127" s="4"/>
      <c r="C127" s="169">
        <v>2</v>
      </c>
      <c r="D127" s="70" t="s">
        <v>795</v>
      </c>
      <c r="E127" s="7"/>
      <c r="F127" s="7"/>
      <c r="G127" s="7"/>
      <c r="H127" s="7"/>
      <c r="I127" s="7"/>
      <c r="J127" s="7"/>
      <c r="K127" s="7"/>
      <c r="L127" s="54"/>
      <c r="M127" s="7"/>
      <c r="N127" s="7"/>
      <c r="O127" s="4"/>
    </row>
    <row r="128" spans="1:15">
      <c r="A128" s="4"/>
      <c r="B128" s="4"/>
      <c r="C128" s="4"/>
      <c r="D128" s="4"/>
      <c r="E128" s="4"/>
      <c r="F128" s="4"/>
      <c r="G128" s="4"/>
      <c r="H128" s="4"/>
      <c r="I128" s="4"/>
      <c r="J128" s="4"/>
      <c r="K128" s="4"/>
      <c r="L128" s="8"/>
      <c r="M128" s="4"/>
      <c r="N128" s="4"/>
      <c r="O128" s="4"/>
    </row>
  </sheetData>
  <mergeCells count="4">
    <mergeCell ref="D125:F125"/>
    <mergeCell ref="J25:M25"/>
    <mergeCell ref="C2:N2"/>
    <mergeCell ref="C3:N3"/>
  </mergeCells>
  <phoneticPr fontId="1" type="noConversion"/>
  <conditionalFormatting sqref="L27:L121">
    <cfRule type="endsWith" dxfId="1903" priority="1" operator="endsWith" text="No">
      <formula>RIGHT(L27,LEN("No"))="No"</formula>
    </cfRule>
    <cfRule type="containsText" dxfId="1902" priority="2" operator="containsText" text="Yes">
      <formula>NOT(ISERROR(SEARCH("Yes",L27)))</formula>
    </cfRule>
  </conditionalFormatting>
  <dataValidations count="1">
    <dataValidation allowBlank="1" showInputMessage="1" showErrorMessage="1" prompt="Where is this information used?" sqref="H26" xr:uid="{E179E8B6-2769-453C-8164-FBB430E54BF7}"/>
  </dataValidations>
  <hyperlinks>
    <hyperlink ref="D125:F125" r:id="rId1" display="Microsoft Well-Architected Framework Assessments" xr:uid="{1B260A1F-A575-4A08-9696-0F9958EB471E}"/>
    <hyperlink ref="F92" r:id="rId2" location="im-8-restrict-the-exposure-of-credentials-and-secrets" xr:uid="{BB2C281C-CD47-4EEA-BF4C-91D96357C615}"/>
    <hyperlink ref="F91" r:id="rId3" location="ns-5-deploy-ddos-protection" xr:uid="{B2CBCF89-B657-426E-AC0C-F213C6F77C2F}"/>
    <hyperlink ref="F93" r:id="rId4" location="pa-8-determine-access-process-for-cloud-provider-support" xr:uid="{6E39CFDC-1D64-4241-A526-6B40D9464D6F}"/>
    <hyperlink ref="F94" r:id="rId5" xr:uid="{FC792958-A344-490D-8979-074AE5EDE272}"/>
    <hyperlink ref="F95" r:id="rId6" location="lt-1-enable-threat-detection-capabilities" xr:uid="{7F294EA6-5C81-4F05-A49E-494B7E825370}"/>
    <hyperlink ref="F96" r:id="rId7" location="lt-1-enable-threat-detection-capabilities" xr:uid="{D5E3F5E8-9C45-44E8-A7E0-1018452B4559}"/>
    <hyperlink ref="F97" r:id="rId8" location="pv-6-rapidly-and-automatically-remediate-vulnerabilities" xr:uid="{CD07CB68-6488-4523-9057-EAD1EAFBAAD8}"/>
    <hyperlink ref="F98" r:id="rId9" location="br-2-protect-backup-and-recovery-data" display="Backup and Recovery: Protect Backup and Recovery Data - Ransomware and rogue admin scenario mitigation by using multi-user authorization for Azure Backup to help add a layer of authorization for critical backup operations like policy modifications, disabling soft delete, and vault deletions." xr:uid="{E4644F47-241E-4036-85FD-3AF15F6F0C7D}"/>
    <hyperlink ref="F99" r:id="rId10" location="br-2-protect-backup-and-recovery-data" xr:uid="{F8353B51-89B4-48E9-BFFA-804E684D9EA8}"/>
    <hyperlink ref="D127" r:id="rId11" display="Determine compliance requirements." xr:uid="{5480CC22-33BA-44AF-A744-CBC1232E4DEB}"/>
    <hyperlink ref="D126" location="'1B Commitment, Blueprints'!A1" display="The business commitment level is aligned with the business commitment template." xr:uid="{8A883D5E-68B6-4B78-A5B6-2CFEB8966FD3}"/>
    <hyperlink ref="F120" r:id="rId12" xr:uid="{D8A22818-1E84-441F-A457-B46DE80557AA}"/>
  </hyperlinks>
  <pageMargins left="0.7" right="0.7" top="0.75" bottom="0.75" header="0.3" footer="0.3"/>
  <pageSetup orientation="portrait" r:id="rId13"/>
  <drawing r:id="rId14"/>
  <tableParts count="1">
    <tablePart r:id="rId15"/>
  </tableParts>
  <extLst>
    <ext xmlns:x14="http://schemas.microsoft.com/office/spreadsheetml/2009/9/main" uri="{CCE6A557-97BC-4b89-ADB6-D9C93CAAB3DF}">
      <x14:dataValidations xmlns:xm="http://schemas.microsoft.com/office/excel/2006/main" count="4">
        <x14:dataValidation type="list" allowBlank="1" showInputMessage="1" showErrorMessage="1" xr:uid="{BAEBB92E-5903-47A4-951A-579F164AEA6A}">
          <x14:formula1>
            <xm:f>Data!$H$14:$H$15</xm:f>
          </x14:formula1>
          <xm:sqref>I27:I121</xm:sqref>
        </x14:dataValidation>
        <x14:dataValidation type="list" allowBlank="1" showInputMessage="1" showErrorMessage="1" xr:uid="{08720C2E-95F5-448B-ADB7-EB6792B16CE3}">
          <x14:formula1>
            <xm:f>Data!$C$36:$C$47</xm:f>
          </x14:formula1>
          <xm:sqref>J27:K121</xm:sqref>
        </x14:dataValidation>
        <x14:dataValidation type="list" allowBlank="1" showInputMessage="1" showErrorMessage="1" xr:uid="{61D9F7D8-97D6-41E1-8AEB-1A19910880F7}">
          <x14:formula1>
            <xm:f>Data!$F$31:$F$33</xm:f>
          </x14:formula1>
          <xm:sqref>L27:L121</xm:sqref>
        </x14:dataValidation>
        <x14:dataValidation type="list" allowBlank="1" showInputMessage="1" showErrorMessage="1" xr:uid="{F725DDC8-4A9B-4CA5-813A-67695123AD90}">
          <x14:formula1>
            <xm:f>Data!$J$5:$J$13</xm:f>
          </x14:formula1>
          <xm:sqref>E27:E121</xm:sqref>
        </x14:dataValidation>
      </x14:dataValidations>
    </ext>
    <ext xmlns:x15="http://schemas.microsoft.com/office/spreadsheetml/2010/11/main" uri="{3A4CF648-6AED-40f4-86FF-DC5316D8AED3}">
      <x14:slicerList xmlns:x14="http://schemas.microsoft.com/office/spreadsheetml/2009/9/main">
        <x14:slicer r:id="rId16"/>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32857F-6633-438D-B441-C927BA54B74E}">
  <sheetPr>
    <tabColor rgb="FFF25022"/>
  </sheetPr>
  <dimension ref="A1:AE67"/>
  <sheetViews>
    <sheetView showGridLines="0" showRowColHeaders="0" zoomScale="70" zoomScaleNormal="70" workbookViewId="0">
      <selection activeCell="D39" sqref="D39"/>
    </sheetView>
  </sheetViews>
  <sheetFormatPr defaultColWidth="0" defaultRowHeight="14.45" zeroHeight="1" outlineLevelRow="1"/>
  <cols>
    <col min="1" max="2" width="5.85546875" customWidth="1"/>
    <col min="3" max="3" width="3.85546875" customWidth="1"/>
    <col min="4" max="4" width="19.85546875" bestFit="1" customWidth="1"/>
    <col min="5" max="5" width="19.85546875" customWidth="1"/>
    <col min="6" max="6" width="143.42578125" bestFit="1" customWidth="1"/>
    <col min="7" max="7" width="10.140625" bestFit="1" customWidth="1"/>
    <col min="8" max="8" width="13.140625" bestFit="1" customWidth="1"/>
    <col min="9" max="9" width="12.5703125" bestFit="1" customWidth="1"/>
    <col min="10" max="10" width="20.42578125" bestFit="1" customWidth="1"/>
    <col min="11" max="11" width="24.140625" bestFit="1" customWidth="1"/>
    <col min="12" max="12" width="25.85546875" bestFit="1" customWidth="1"/>
    <col min="13" max="13" width="19.42578125" bestFit="1" customWidth="1"/>
    <col min="14" max="15" width="19.42578125" customWidth="1"/>
    <col min="16" max="16" width="9.85546875" bestFit="1" customWidth="1"/>
    <col min="17" max="17" width="14.42578125" bestFit="1" customWidth="1"/>
    <col min="18" max="18" width="13.140625" bestFit="1" customWidth="1"/>
    <col min="19" max="19" width="17.42578125" bestFit="1" customWidth="1"/>
    <col min="20" max="20" width="16.42578125" bestFit="1" customWidth="1"/>
    <col min="21" max="21" width="17.42578125" bestFit="1" customWidth="1"/>
    <col min="22" max="22" width="16.85546875" bestFit="1" customWidth="1"/>
    <col min="23" max="23" width="18.5703125" bestFit="1" customWidth="1"/>
    <col min="24" max="24" width="17.85546875" bestFit="1" customWidth="1"/>
    <col min="25" max="25" width="14.42578125" bestFit="1" customWidth="1"/>
    <col min="26" max="26" width="19.5703125" bestFit="1" customWidth="1"/>
    <col min="27" max="27" width="22.42578125" bestFit="1" customWidth="1"/>
    <col min="28" max="28" width="3.5703125" customWidth="1"/>
    <col min="29" max="29" width="3.85546875" customWidth="1"/>
    <col min="30" max="31" width="0" hidden="1" customWidth="1"/>
    <col min="32" max="16384" width="8.85546875" hidden="1"/>
  </cols>
  <sheetData>
    <row r="1" spans="1:29">
      <c r="A1" s="4"/>
      <c r="B1" s="4"/>
      <c r="C1" s="4"/>
      <c r="D1" s="4"/>
      <c r="E1" s="4"/>
      <c r="F1" s="4"/>
      <c r="G1" s="4"/>
      <c r="H1" s="4"/>
      <c r="I1" s="4"/>
      <c r="J1" s="4"/>
      <c r="K1" s="4"/>
      <c r="L1" s="4"/>
      <c r="M1" s="4"/>
      <c r="N1" s="4"/>
      <c r="O1" s="4"/>
      <c r="P1" s="4"/>
      <c r="Q1" s="4"/>
      <c r="R1" s="4"/>
      <c r="S1" s="4"/>
      <c r="T1" s="4"/>
      <c r="U1" s="4"/>
      <c r="V1" s="4"/>
      <c r="W1" s="4"/>
      <c r="X1" s="4"/>
      <c r="Y1" s="4"/>
      <c r="Z1" s="4"/>
      <c r="AA1" s="4"/>
      <c r="AB1" s="4"/>
      <c r="AC1" s="4"/>
    </row>
    <row r="2" spans="1:29" ht="21">
      <c r="A2" s="4"/>
      <c r="B2" s="4"/>
      <c r="C2" s="618" t="s">
        <v>796</v>
      </c>
      <c r="D2" s="618"/>
      <c r="E2" s="618"/>
      <c r="F2" s="618"/>
      <c r="G2" s="618"/>
      <c r="H2" s="618"/>
      <c r="I2" s="618"/>
      <c r="J2" s="618"/>
      <c r="K2" s="618"/>
      <c r="L2" s="618"/>
      <c r="M2" s="618"/>
      <c r="N2" s="618"/>
      <c r="O2" s="618"/>
      <c r="P2" s="618"/>
      <c r="Q2" s="618"/>
      <c r="R2" s="618"/>
      <c r="S2" s="618"/>
      <c r="T2" s="618"/>
      <c r="U2" s="618"/>
      <c r="V2" s="618"/>
      <c r="W2" s="618"/>
      <c r="X2" s="618"/>
      <c r="Y2" s="618"/>
      <c r="Z2" s="618"/>
      <c r="AA2" s="618"/>
      <c r="AB2" s="618"/>
      <c r="AC2" s="4"/>
    </row>
    <row r="3" spans="1:29" ht="14.45" customHeight="1">
      <c r="A3" s="4"/>
      <c r="B3" s="4"/>
      <c r="C3" s="646" t="s">
        <v>797</v>
      </c>
      <c r="D3" s="646"/>
      <c r="E3" s="646"/>
      <c r="F3" s="646"/>
      <c r="G3" s="646"/>
      <c r="H3" s="646"/>
      <c r="I3" s="646"/>
      <c r="J3" s="646"/>
      <c r="K3" s="646"/>
      <c r="L3" s="646"/>
      <c r="M3" s="646"/>
      <c r="N3" s="646"/>
      <c r="O3" s="646"/>
      <c r="P3" s="646"/>
      <c r="Q3" s="646"/>
      <c r="R3" s="646"/>
      <c r="S3" s="646"/>
      <c r="T3" s="646"/>
      <c r="U3" s="646"/>
      <c r="V3" s="646"/>
      <c r="W3" s="646"/>
      <c r="X3" s="646"/>
      <c r="Y3" s="646"/>
      <c r="Z3" s="646"/>
      <c r="AA3" s="646"/>
      <c r="AB3" s="646"/>
      <c r="AC3" s="4"/>
    </row>
    <row r="4" spans="1:29" ht="14.45" customHeight="1">
      <c r="A4" s="4"/>
      <c r="B4" s="4"/>
      <c r="C4" s="4"/>
      <c r="D4" s="4"/>
      <c r="E4" s="4"/>
      <c r="F4" s="4"/>
      <c r="G4" s="4"/>
      <c r="H4" s="4"/>
      <c r="I4" s="4"/>
      <c r="J4" s="4"/>
      <c r="K4" s="4"/>
      <c r="L4" s="4"/>
      <c r="M4" s="4"/>
      <c r="N4" s="4"/>
      <c r="O4" s="4"/>
      <c r="P4" s="4"/>
      <c r="Q4" s="4"/>
      <c r="R4" s="4"/>
      <c r="S4" s="4"/>
      <c r="T4" s="4"/>
      <c r="U4" s="4"/>
      <c r="V4" s="4"/>
      <c r="W4" s="4"/>
      <c r="X4" s="4"/>
      <c r="Y4" s="4"/>
      <c r="Z4" s="4"/>
      <c r="AA4" s="4"/>
      <c r="AB4" s="4"/>
      <c r="AC4" s="4"/>
    </row>
    <row r="5" spans="1:29" ht="14.45" customHeight="1">
      <c r="A5" s="4"/>
      <c r="B5" s="4"/>
      <c r="C5" s="198"/>
      <c r="D5" s="7"/>
      <c r="E5" s="7"/>
      <c r="F5" s="106"/>
      <c r="G5" s="106"/>
      <c r="H5" s="106"/>
      <c r="I5" s="106"/>
      <c r="J5" s="106"/>
      <c r="K5" s="106"/>
      <c r="L5" s="106"/>
      <c r="M5" s="7"/>
      <c r="N5" s="7"/>
      <c r="O5" s="7"/>
      <c r="P5" s="7"/>
      <c r="Q5" s="7"/>
      <c r="R5" s="7"/>
      <c r="S5" s="7"/>
      <c r="T5" s="7"/>
      <c r="U5" s="7"/>
      <c r="V5" s="7"/>
      <c r="W5" s="7"/>
      <c r="X5" s="7"/>
      <c r="Y5" s="7"/>
      <c r="Z5" s="7"/>
      <c r="AA5" s="7"/>
      <c r="AB5" s="7"/>
      <c r="AC5" s="4"/>
    </row>
    <row r="6" spans="1:29" ht="14.45" customHeight="1">
      <c r="A6" s="4"/>
      <c r="B6" s="4"/>
      <c r="C6" s="198"/>
      <c r="D6" s="170" t="s">
        <v>299</v>
      </c>
      <c r="E6" s="112"/>
      <c r="F6" s="7"/>
      <c r="G6" s="7"/>
      <c r="H6" s="7"/>
      <c r="I6" s="7"/>
      <c r="J6" s="7"/>
      <c r="K6" s="7"/>
      <c r="L6" s="7"/>
      <c r="M6" s="7"/>
      <c r="N6" s="7"/>
      <c r="O6" s="7"/>
      <c r="P6" s="7"/>
      <c r="Q6" s="7"/>
      <c r="R6" s="7"/>
      <c r="S6" s="7"/>
      <c r="T6" s="7"/>
      <c r="U6" s="7"/>
      <c r="V6" s="7"/>
      <c r="W6" s="7"/>
      <c r="X6" s="7"/>
      <c r="Y6" s="7"/>
      <c r="Z6" s="7"/>
      <c r="AA6" s="7"/>
      <c r="AB6" s="7"/>
      <c r="AC6" s="4"/>
    </row>
    <row r="7" spans="1:29" ht="14.45" customHeight="1">
      <c r="A7" s="4"/>
      <c r="B7" s="4"/>
      <c r="C7" s="198"/>
      <c r="D7" s="170" t="s">
        <v>300</v>
      </c>
      <c r="E7" s="112"/>
      <c r="F7" s="7"/>
      <c r="G7" s="7"/>
      <c r="H7" s="7"/>
      <c r="I7" s="7"/>
      <c r="J7" s="7"/>
      <c r="K7" s="7"/>
      <c r="L7" s="7"/>
      <c r="M7" s="7"/>
      <c r="N7" s="7"/>
      <c r="O7" s="7"/>
      <c r="P7" s="7"/>
      <c r="Q7" s="7"/>
      <c r="R7" s="7"/>
      <c r="S7" s="7"/>
      <c r="T7" s="7"/>
      <c r="U7" s="7"/>
      <c r="V7" s="7"/>
      <c r="W7" s="7"/>
      <c r="X7" s="7"/>
      <c r="Y7" s="7"/>
      <c r="Z7" s="7"/>
      <c r="AA7" s="7"/>
      <c r="AB7" s="7"/>
      <c r="AC7" s="4"/>
    </row>
    <row r="8" spans="1:29" ht="14.45" customHeight="1">
      <c r="A8" s="4"/>
      <c r="B8" s="4"/>
      <c r="C8" s="198"/>
      <c r="D8" s="170" t="s">
        <v>301</v>
      </c>
      <c r="E8" s="112"/>
      <c r="F8" s="7"/>
      <c r="G8" s="7"/>
      <c r="H8" s="7"/>
      <c r="I8" s="7"/>
      <c r="J8" s="7"/>
      <c r="K8" s="7"/>
      <c r="L8" s="7"/>
      <c r="M8" s="7"/>
      <c r="N8" s="7"/>
      <c r="O8" s="7"/>
      <c r="P8" s="7"/>
      <c r="Q8" s="7"/>
      <c r="R8" s="7"/>
      <c r="S8" s="7"/>
      <c r="T8" s="7"/>
      <c r="U8" s="7"/>
      <c r="V8" s="7"/>
      <c r="W8" s="7"/>
      <c r="X8" s="7"/>
      <c r="Y8" s="7"/>
      <c r="Z8" s="7"/>
      <c r="AA8" s="7"/>
      <c r="AB8" s="7"/>
      <c r="AC8" s="4"/>
    </row>
    <row r="9" spans="1:29" ht="14.45" customHeight="1">
      <c r="A9" s="4"/>
      <c r="B9" s="4"/>
      <c r="C9" s="198"/>
      <c r="D9" s="170" t="s">
        <v>0</v>
      </c>
      <c r="E9" s="112"/>
      <c r="F9" s="7"/>
      <c r="G9" s="7"/>
      <c r="H9" s="7"/>
      <c r="I9" s="7"/>
      <c r="J9" s="7"/>
      <c r="K9" s="7"/>
      <c r="L9" s="7"/>
      <c r="M9" s="7"/>
      <c r="N9" s="7"/>
      <c r="O9" s="7"/>
      <c r="P9" s="7"/>
      <c r="Q9" s="7"/>
      <c r="R9" s="7"/>
      <c r="S9" s="7"/>
      <c r="T9" s="7"/>
      <c r="U9" s="7"/>
      <c r="V9" s="7"/>
      <c r="W9" s="7"/>
      <c r="X9" s="7"/>
      <c r="Y9" s="7"/>
      <c r="Z9" s="7"/>
      <c r="AA9" s="7"/>
      <c r="AB9" s="7"/>
      <c r="AC9" s="4"/>
    </row>
    <row r="10" spans="1:29" ht="14.45" customHeight="1">
      <c r="A10" s="4"/>
      <c r="B10" s="4"/>
      <c r="C10" s="198"/>
      <c r="D10" s="7"/>
      <c r="E10" s="7"/>
      <c r="F10" s="7"/>
      <c r="G10" s="7"/>
      <c r="H10" s="7"/>
      <c r="I10" s="7"/>
      <c r="J10" s="7"/>
      <c r="K10" s="7"/>
      <c r="L10" s="7"/>
      <c r="M10" s="159"/>
      <c r="N10" s="159"/>
      <c r="O10" s="159"/>
      <c r="P10" s="159"/>
      <c r="Q10" s="159"/>
      <c r="R10" s="159"/>
      <c r="S10" s="159"/>
      <c r="T10" s="159"/>
      <c r="U10" s="159"/>
      <c r="V10" s="159"/>
      <c r="W10" s="159"/>
      <c r="X10" s="159"/>
      <c r="Y10" s="159"/>
      <c r="Z10" s="159"/>
      <c r="AA10" s="159"/>
      <c r="AB10" s="159"/>
      <c r="AC10" s="4"/>
    </row>
    <row r="11" spans="1:29" ht="14.45" customHeight="1">
      <c r="A11" s="4"/>
      <c r="B11" s="4"/>
      <c r="C11" s="4"/>
      <c r="D11" s="4"/>
      <c r="E11" s="4"/>
      <c r="F11" s="4"/>
      <c r="G11" s="4"/>
      <c r="H11" s="4"/>
      <c r="I11" s="4"/>
      <c r="J11" s="4"/>
      <c r="K11" s="4"/>
      <c r="L11" s="4"/>
      <c r="M11" s="4"/>
      <c r="N11" s="4"/>
      <c r="O11" s="4"/>
      <c r="P11" s="4"/>
      <c r="Q11" s="4"/>
      <c r="R11" s="4"/>
      <c r="S11" s="4"/>
      <c r="T11" s="4"/>
      <c r="U11" s="4"/>
      <c r="V11" s="4"/>
      <c r="W11" s="4"/>
      <c r="X11" s="4"/>
      <c r="Y11" s="4"/>
      <c r="Z11" s="4"/>
      <c r="AA11" s="4"/>
      <c r="AB11" s="4"/>
      <c r="AC11" s="4"/>
    </row>
    <row r="12" spans="1:29">
      <c r="A12" s="4"/>
      <c r="B12" s="4"/>
      <c r="C12" s="7" t="s">
        <v>798</v>
      </c>
      <c r="D12" s="7"/>
      <c r="E12" s="7"/>
      <c r="F12" s="7"/>
      <c r="G12" s="7"/>
      <c r="H12" s="7"/>
      <c r="I12" s="7"/>
      <c r="J12" s="7"/>
      <c r="K12" s="7"/>
      <c r="L12" s="7"/>
      <c r="M12" s="7"/>
      <c r="N12" s="7"/>
      <c r="O12" s="7"/>
      <c r="P12" s="7"/>
      <c r="Q12" s="7"/>
      <c r="R12" s="7"/>
      <c r="S12" s="7"/>
      <c r="T12" s="7"/>
      <c r="U12" s="7"/>
      <c r="V12" s="7"/>
      <c r="W12" s="7"/>
      <c r="X12" s="7"/>
      <c r="Y12" s="7"/>
      <c r="Z12" s="7"/>
      <c r="AA12" s="7"/>
      <c r="AB12" s="7"/>
      <c r="AC12" s="4"/>
    </row>
    <row r="13" spans="1:29">
      <c r="A13" s="4"/>
      <c r="B13" s="4"/>
      <c r="C13" s="7"/>
      <c r="D13" s="7"/>
      <c r="E13" s="7"/>
      <c r="F13" s="7"/>
      <c r="G13" s="7"/>
      <c r="H13" s="7"/>
      <c r="I13" s="7"/>
      <c r="J13" s="7"/>
      <c r="K13" s="7"/>
      <c r="L13" s="7"/>
      <c r="M13" s="7"/>
      <c r="N13" s="7"/>
      <c r="O13" s="7"/>
      <c r="P13" s="7"/>
      <c r="Q13" s="7"/>
      <c r="R13" s="7"/>
      <c r="S13" s="7"/>
      <c r="T13" s="7"/>
      <c r="U13" s="7"/>
      <c r="V13" s="7"/>
      <c r="W13" s="7"/>
      <c r="X13" s="7"/>
      <c r="Y13" s="7"/>
      <c r="Z13" s="7"/>
      <c r="AA13" s="7"/>
      <c r="AB13" s="7"/>
      <c r="AC13" s="4"/>
    </row>
    <row r="14" spans="1:29">
      <c r="A14" s="4"/>
      <c r="B14" s="4"/>
      <c r="C14" s="7" t="s">
        <v>799</v>
      </c>
      <c r="D14" s="7"/>
      <c r="E14" s="7"/>
      <c r="F14" s="7"/>
      <c r="G14" s="7"/>
      <c r="H14" s="7"/>
      <c r="I14" s="7"/>
      <c r="J14" s="7"/>
      <c r="K14" s="7"/>
      <c r="L14" s="7"/>
      <c r="M14" s="7"/>
      <c r="N14" s="7"/>
      <c r="O14" s="7"/>
      <c r="P14" s="7"/>
      <c r="Q14" s="7"/>
      <c r="R14" s="7"/>
      <c r="S14" s="7"/>
      <c r="T14" s="7"/>
      <c r="U14" s="7"/>
      <c r="V14" s="7"/>
      <c r="W14" s="7"/>
      <c r="X14" s="7"/>
      <c r="Y14" s="7"/>
      <c r="Z14" s="7"/>
      <c r="AA14" s="7"/>
      <c r="AB14" s="7"/>
      <c r="AC14" s="4"/>
    </row>
    <row r="15" spans="1:29">
      <c r="A15" s="4"/>
      <c r="B15" s="4"/>
      <c r="C15" s="7" t="s">
        <v>800</v>
      </c>
      <c r="D15" s="7"/>
      <c r="E15" s="7"/>
      <c r="F15" s="7"/>
      <c r="G15" s="7"/>
      <c r="H15" s="7"/>
      <c r="I15" s="7"/>
      <c r="J15" s="7"/>
      <c r="K15" s="7"/>
      <c r="L15" s="7"/>
      <c r="M15" s="7"/>
      <c r="N15" s="7"/>
      <c r="O15" s="7"/>
      <c r="P15" s="7"/>
      <c r="Q15" s="7"/>
      <c r="R15" s="7"/>
      <c r="S15" s="7"/>
      <c r="T15" s="7"/>
      <c r="U15" s="7"/>
      <c r="V15" s="7"/>
      <c r="W15" s="7"/>
      <c r="X15" s="7"/>
      <c r="Y15" s="7"/>
      <c r="Z15" s="7"/>
      <c r="AA15" s="7"/>
      <c r="AB15" s="7"/>
      <c r="AC15" s="4"/>
    </row>
    <row r="16" spans="1:29">
      <c r="A16" s="4"/>
      <c r="B16" s="4"/>
      <c r="C16" s="7" t="s">
        <v>801</v>
      </c>
      <c r="D16" s="7"/>
      <c r="E16" s="7"/>
      <c r="F16" s="7"/>
      <c r="G16" s="7"/>
      <c r="H16" s="7"/>
      <c r="I16" s="7"/>
      <c r="J16" s="7"/>
      <c r="K16" s="7"/>
      <c r="L16" s="7"/>
      <c r="M16" s="7"/>
      <c r="N16" s="7"/>
      <c r="O16" s="7"/>
      <c r="P16" s="7"/>
      <c r="Q16" s="7"/>
      <c r="R16" s="7"/>
      <c r="S16" s="7"/>
      <c r="T16" s="7"/>
      <c r="U16" s="7"/>
      <c r="V16" s="7"/>
      <c r="W16" s="7"/>
      <c r="X16" s="7"/>
      <c r="Y16" s="7"/>
      <c r="Z16" s="7"/>
      <c r="AA16" s="7"/>
      <c r="AB16" s="7"/>
      <c r="AC16" s="4"/>
    </row>
    <row r="17" spans="1:29" ht="16.5">
      <c r="A17" s="4"/>
      <c r="B17" s="4"/>
      <c r="C17" s="7" t="s">
        <v>802</v>
      </c>
      <c r="D17" s="7"/>
      <c r="E17" s="7"/>
      <c r="F17" s="7"/>
      <c r="G17" s="7"/>
      <c r="H17" s="7"/>
      <c r="I17" s="7"/>
      <c r="J17" s="7"/>
      <c r="K17" s="7"/>
      <c r="L17" s="7"/>
      <c r="M17" s="7"/>
      <c r="N17" s="7"/>
      <c r="O17" s="7"/>
      <c r="P17" s="7"/>
      <c r="Q17" s="7"/>
      <c r="R17" s="7"/>
      <c r="S17" s="7"/>
      <c r="T17" s="7"/>
      <c r="U17" s="7"/>
      <c r="V17" s="7"/>
      <c r="W17" s="7"/>
      <c r="X17" s="7"/>
      <c r="Y17" s="7"/>
      <c r="Z17" s="7"/>
      <c r="AA17" s="7"/>
      <c r="AB17" s="7"/>
      <c r="AC17" s="4"/>
    </row>
    <row r="18" spans="1:29">
      <c r="A18" s="4"/>
      <c r="B18" s="4"/>
      <c r="C18" s="7" t="s">
        <v>803</v>
      </c>
      <c r="D18" s="7"/>
      <c r="E18" s="7"/>
      <c r="F18" s="7"/>
      <c r="G18" s="7"/>
      <c r="H18" s="7"/>
      <c r="I18" s="7"/>
      <c r="J18" s="7"/>
      <c r="K18" s="7"/>
      <c r="L18" s="7"/>
      <c r="M18" s="7"/>
      <c r="N18" s="7"/>
      <c r="O18" s="7"/>
      <c r="P18" s="7"/>
      <c r="Q18" s="7"/>
      <c r="R18" s="7"/>
      <c r="S18" s="7"/>
      <c r="T18" s="7"/>
      <c r="U18" s="7"/>
      <c r="V18" s="7"/>
      <c r="W18" s="7"/>
      <c r="X18" s="7"/>
      <c r="Y18" s="7"/>
      <c r="Z18" s="7"/>
      <c r="AA18" s="7"/>
      <c r="AB18" s="7"/>
      <c r="AC18" s="4"/>
    </row>
    <row r="19" spans="1:29">
      <c r="A19" s="4"/>
      <c r="B19" s="4"/>
      <c r="C19" s="7" t="s">
        <v>804</v>
      </c>
      <c r="D19" s="7"/>
      <c r="E19" s="7"/>
      <c r="F19" s="7"/>
      <c r="G19" s="7"/>
      <c r="H19" s="7"/>
      <c r="I19" s="7"/>
      <c r="J19" s="7"/>
      <c r="K19" s="7"/>
      <c r="L19" s="7"/>
      <c r="M19" s="7"/>
      <c r="N19" s="7"/>
      <c r="O19" s="7"/>
      <c r="P19" s="7"/>
      <c r="Q19" s="7"/>
      <c r="R19" s="7"/>
      <c r="S19" s="7"/>
      <c r="T19" s="7"/>
      <c r="U19" s="7"/>
      <c r="V19" s="7"/>
      <c r="W19" s="7"/>
      <c r="X19" s="7"/>
      <c r="Y19" s="7"/>
      <c r="Z19" s="7"/>
      <c r="AA19" s="7"/>
      <c r="AB19" s="7"/>
      <c r="AC19" s="4"/>
    </row>
    <row r="20" spans="1:29">
      <c r="A20" s="4"/>
      <c r="B20" s="4"/>
      <c r="C20" s="7" t="s">
        <v>805</v>
      </c>
      <c r="D20" s="7"/>
      <c r="E20" s="7"/>
      <c r="F20" s="7"/>
      <c r="G20" s="7"/>
      <c r="H20" s="7"/>
      <c r="I20" s="7"/>
      <c r="J20" s="7"/>
      <c r="K20" s="7"/>
      <c r="L20" s="7"/>
      <c r="M20" s="7"/>
      <c r="N20" s="7"/>
      <c r="O20" s="7"/>
      <c r="P20" s="7"/>
      <c r="Q20" s="7"/>
      <c r="R20" s="7"/>
      <c r="S20" s="7"/>
      <c r="T20" s="7"/>
      <c r="U20" s="7"/>
      <c r="V20" s="7"/>
      <c r="W20" s="7"/>
      <c r="X20" s="7"/>
      <c r="Y20" s="7"/>
      <c r="Z20" s="7"/>
      <c r="AA20" s="7"/>
      <c r="AB20" s="7"/>
      <c r="AC20" s="4"/>
    </row>
    <row r="21" spans="1:29">
      <c r="A21" s="4"/>
      <c r="B21" s="4"/>
      <c r="C21" s="7" t="s">
        <v>806</v>
      </c>
      <c r="D21" s="7"/>
      <c r="E21" s="7"/>
      <c r="F21" s="7"/>
      <c r="G21" s="7"/>
      <c r="H21" s="7"/>
      <c r="I21" s="7"/>
      <c r="J21" s="7"/>
      <c r="K21" s="7"/>
      <c r="L21" s="7"/>
      <c r="M21" s="7"/>
      <c r="N21" s="7"/>
      <c r="O21" s="7"/>
      <c r="P21" s="7"/>
      <c r="Q21" s="7"/>
      <c r="R21" s="7"/>
      <c r="S21" s="7"/>
      <c r="T21" s="7"/>
      <c r="U21" s="7"/>
      <c r="V21" s="7"/>
      <c r="W21" s="7"/>
      <c r="X21" s="7"/>
      <c r="Y21" s="7"/>
      <c r="Z21" s="7"/>
      <c r="AA21" s="7"/>
      <c r="AB21" s="7"/>
      <c r="AC21" s="4"/>
    </row>
    <row r="22" spans="1:29">
      <c r="A22" s="4"/>
      <c r="B22" s="4"/>
      <c r="C22" s="7" t="s">
        <v>807</v>
      </c>
      <c r="D22" s="7"/>
      <c r="E22" s="7"/>
      <c r="F22" s="7"/>
      <c r="G22" s="7"/>
      <c r="H22" s="7"/>
      <c r="I22" s="7"/>
      <c r="J22" s="7"/>
      <c r="K22" s="7"/>
      <c r="L22" s="7"/>
      <c r="M22" s="7"/>
      <c r="N22" s="7"/>
      <c r="O22" s="7"/>
      <c r="P22" s="7"/>
      <c r="Q22" s="7"/>
      <c r="R22" s="7"/>
      <c r="S22" s="7"/>
      <c r="T22" s="7"/>
      <c r="U22" s="7"/>
      <c r="V22" s="7"/>
      <c r="W22" s="7"/>
      <c r="X22" s="7"/>
      <c r="Y22" s="7"/>
      <c r="Z22" s="7"/>
      <c r="AA22" s="7"/>
      <c r="AB22" s="7"/>
      <c r="AC22" s="4"/>
    </row>
    <row r="23" spans="1:29">
      <c r="A23" s="4"/>
      <c r="B23" s="4"/>
      <c r="C23" s="4"/>
      <c r="D23" s="4"/>
      <c r="E23" s="4"/>
      <c r="F23" s="4"/>
      <c r="G23" s="4"/>
      <c r="H23" s="4"/>
      <c r="I23" s="4"/>
      <c r="J23" s="4"/>
      <c r="K23" s="4"/>
      <c r="L23" s="4"/>
      <c r="M23" s="4"/>
      <c r="N23" s="4"/>
      <c r="O23" s="4"/>
      <c r="P23" s="4"/>
      <c r="Q23" s="4"/>
      <c r="R23" s="4"/>
      <c r="S23" s="4"/>
      <c r="T23" s="4"/>
      <c r="U23" s="4"/>
      <c r="V23" s="4"/>
      <c r="W23" s="4"/>
      <c r="X23" s="4"/>
      <c r="Y23" s="4"/>
      <c r="Z23" s="4"/>
      <c r="AA23" s="4"/>
      <c r="AB23" s="4"/>
      <c r="AC23" s="4"/>
    </row>
    <row r="24" spans="1:29">
      <c r="A24" s="4"/>
      <c r="B24" s="4"/>
      <c r="C24" s="7"/>
      <c r="D24" s="7"/>
      <c r="E24" s="7"/>
      <c r="F24" s="7"/>
      <c r="G24" s="7"/>
      <c r="H24" s="7"/>
      <c r="I24" s="7"/>
      <c r="J24" s="7"/>
      <c r="K24" s="7"/>
      <c r="L24" s="7"/>
      <c r="M24" s="7"/>
      <c r="N24" s="7"/>
      <c r="O24" s="7"/>
      <c r="P24" s="7"/>
      <c r="Q24" s="7"/>
      <c r="R24" s="7"/>
      <c r="S24" s="7"/>
      <c r="T24" s="7"/>
      <c r="U24" s="7"/>
      <c r="V24" s="7"/>
      <c r="W24" s="7"/>
      <c r="X24" s="7"/>
      <c r="Y24" s="7"/>
      <c r="Z24" s="7"/>
      <c r="AA24" s="7"/>
      <c r="AB24" s="7"/>
      <c r="AC24" s="4"/>
    </row>
    <row r="25" spans="1:29" ht="29.1">
      <c r="A25" s="4"/>
      <c r="B25" s="4"/>
      <c r="C25" s="7"/>
      <c r="D25" s="120" t="s">
        <v>808</v>
      </c>
      <c r="E25" s="120" t="s">
        <v>138</v>
      </c>
      <c r="F25" s="120" t="s">
        <v>474</v>
      </c>
      <c r="G25" s="120" t="s">
        <v>809</v>
      </c>
      <c r="H25" s="120" t="s">
        <v>810</v>
      </c>
      <c r="I25" s="120" t="s">
        <v>411</v>
      </c>
      <c r="J25" s="120" t="s">
        <v>811</v>
      </c>
      <c r="K25" s="120" t="s">
        <v>812</v>
      </c>
      <c r="L25" s="120" t="s">
        <v>813</v>
      </c>
      <c r="M25" s="120" t="s">
        <v>814</v>
      </c>
      <c r="N25" s="120" t="s">
        <v>187</v>
      </c>
      <c r="O25" s="120" t="s">
        <v>193</v>
      </c>
      <c r="P25" s="120" t="s">
        <v>815</v>
      </c>
      <c r="Q25" s="120" t="s">
        <v>816</v>
      </c>
      <c r="R25" s="120" t="s">
        <v>817</v>
      </c>
      <c r="S25" s="120" t="s">
        <v>818</v>
      </c>
      <c r="T25" s="120" t="s">
        <v>819</v>
      </c>
      <c r="U25" s="120" t="s">
        <v>820</v>
      </c>
      <c r="V25" s="120" t="s">
        <v>821</v>
      </c>
      <c r="W25" s="120" t="s">
        <v>822</v>
      </c>
      <c r="X25" s="120" t="s">
        <v>477</v>
      </c>
      <c r="Y25" s="120" t="s">
        <v>478</v>
      </c>
      <c r="Z25" s="120" t="s">
        <v>823</v>
      </c>
      <c r="AA25" s="120" t="s">
        <v>824</v>
      </c>
      <c r="AB25" s="7"/>
      <c r="AC25" s="4"/>
    </row>
    <row r="26" spans="1:29" ht="101.45">
      <c r="A26" s="68"/>
      <c r="B26" s="68"/>
      <c r="C26" s="64"/>
      <c r="D26" s="18" t="s">
        <v>825</v>
      </c>
      <c r="E26" s="156" t="s">
        <v>826</v>
      </c>
      <c r="F26" s="18" t="s">
        <v>827</v>
      </c>
      <c r="G26" s="18"/>
      <c r="H26" s="18"/>
      <c r="I26" s="18"/>
      <c r="J26" s="307"/>
      <c r="K26" s="308"/>
      <c r="L26" s="308"/>
      <c r="M26" s="309"/>
      <c r="N26" s="309"/>
      <c r="O26" s="309"/>
      <c r="P26" s="310"/>
      <c r="Q26" s="309"/>
      <c r="R26" s="307"/>
      <c r="S26" s="18"/>
      <c r="T26" s="18"/>
      <c r="U26" s="268"/>
      <c r="V26" s="18">
        <v>1</v>
      </c>
      <c r="W26" s="18"/>
      <c r="X26" s="18"/>
      <c r="Y26" s="18"/>
      <c r="Z26" s="18" t="s">
        <v>828</v>
      </c>
      <c r="AA26" s="18"/>
      <c r="AB26" s="64"/>
      <c r="AC26" s="4"/>
    </row>
    <row r="27" spans="1:29" ht="101.45">
      <c r="A27" s="68"/>
      <c r="B27" s="68"/>
      <c r="C27" s="64"/>
      <c r="D27" s="18" t="s">
        <v>829</v>
      </c>
      <c r="E27" s="156" t="s">
        <v>826</v>
      </c>
      <c r="F27" s="18" t="s">
        <v>827</v>
      </c>
      <c r="G27" s="18"/>
      <c r="H27" s="18"/>
      <c r="I27" s="18"/>
      <c r="J27" s="307"/>
      <c r="K27" s="308"/>
      <c r="L27" s="308"/>
      <c r="M27" s="309"/>
      <c r="N27" s="309"/>
      <c r="O27" s="309"/>
      <c r="P27" s="310"/>
      <c r="Q27" s="309"/>
      <c r="R27" s="307"/>
      <c r="S27" s="18"/>
      <c r="T27" s="18"/>
      <c r="U27" s="268"/>
      <c r="V27" s="18">
        <v>2</v>
      </c>
      <c r="W27" s="18"/>
      <c r="X27" s="18"/>
      <c r="Y27" s="18"/>
      <c r="Z27" s="18" t="s">
        <v>828</v>
      </c>
      <c r="AA27" s="18"/>
      <c r="AB27" s="64"/>
      <c r="AC27" s="4"/>
    </row>
    <row r="28" spans="1:29" ht="101.45">
      <c r="A28" s="4"/>
      <c r="B28" s="4"/>
      <c r="C28" s="7"/>
      <c r="D28" s="18" t="s">
        <v>830</v>
      </c>
      <c r="E28" s="156" t="s">
        <v>826</v>
      </c>
      <c r="F28" s="18" t="s">
        <v>831</v>
      </c>
      <c r="G28" s="18"/>
      <c r="H28" s="18"/>
      <c r="I28" s="18"/>
      <c r="J28" s="307"/>
      <c r="K28" s="308"/>
      <c r="L28" s="308"/>
      <c r="M28" s="309"/>
      <c r="N28" s="309"/>
      <c r="O28" s="309"/>
      <c r="P28" s="310"/>
      <c r="Q28" s="309"/>
      <c r="R28" s="307"/>
      <c r="S28" s="18"/>
      <c r="T28" s="18"/>
      <c r="U28" s="18"/>
      <c r="V28" s="18">
        <v>1</v>
      </c>
      <c r="W28" s="18"/>
      <c r="X28" s="18"/>
      <c r="Y28" s="18"/>
      <c r="Z28" s="18" t="s">
        <v>828</v>
      </c>
      <c r="AA28" s="18"/>
      <c r="AB28" s="7"/>
      <c r="AC28" s="4"/>
    </row>
    <row r="29" spans="1:29" ht="101.45">
      <c r="A29" s="4"/>
      <c r="B29" s="4"/>
      <c r="C29" s="7"/>
      <c r="D29" s="18" t="s">
        <v>832</v>
      </c>
      <c r="E29" s="156" t="s">
        <v>826</v>
      </c>
      <c r="F29" s="18" t="s">
        <v>831</v>
      </c>
      <c r="G29" s="18"/>
      <c r="H29" s="18"/>
      <c r="I29" s="18"/>
      <c r="J29" s="307"/>
      <c r="K29" s="308"/>
      <c r="L29" s="308"/>
      <c r="M29" s="309"/>
      <c r="N29" s="309"/>
      <c r="O29" s="309"/>
      <c r="P29" s="310"/>
      <c r="Q29" s="309"/>
      <c r="R29" s="307"/>
      <c r="S29" s="18"/>
      <c r="T29" s="18"/>
      <c r="U29" s="18"/>
      <c r="V29" s="18">
        <v>2</v>
      </c>
      <c r="W29" s="18"/>
      <c r="X29" s="18"/>
      <c r="Y29" s="18"/>
      <c r="Z29" s="18" t="s">
        <v>828</v>
      </c>
      <c r="AA29" s="18"/>
      <c r="AB29" s="7"/>
      <c r="AC29" s="4"/>
    </row>
    <row r="30" spans="1:29" ht="29.1">
      <c r="A30" s="4"/>
      <c r="B30" s="4"/>
      <c r="C30" s="7"/>
      <c r="D30" s="18" t="s">
        <v>833</v>
      </c>
      <c r="E30" s="18" t="s">
        <v>834</v>
      </c>
      <c r="F30" s="18" t="s">
        <v>831</v>
      </c>
      <c r="G30" s="18"/>
      <c r="H30" s="18"/>
      <c r="I30" s="18"/>
      <c r="J30" s="307"/>
      <c r="K30" s="308"/>
      <c r="L30" s="308"/>
      <c r="M30" s="309"/>
      <c r="N30" s="309"/>
      <c r="O30" s="309"/>
      <c r="P30" s="310"/>
      <c r="Q30" s="309"/>
      <c r="R30" s="307"/>
      <c r="S30" s="18"/>
      <c r="T30" s="18"/>
      <c r="U30" s="18"/>
      <c r="V30" s="18">
        <v>3</v>
      </c>
      <c r="W30" s="18"/>
      <c r="X30" s="18"/>
      <c r="Y30" s="18"/>
      <c r="Z30" s="254" t="s">
        <v>835</v>
      </c>
      <c r="AA30" s="205"/>
      <c r="AB30" s="7"/>
      <c r="AC30" s="4"/>
    </row>
    <row r="31" spans="1:29" ht="101.45">
      <c r="A31" s="4"/>
      <c r="B31" s="4"/>
      <c r="C31" s="7"/>
      <c r="D31" s="18" t="s">
        <v>836</v>
      </c>
      <c r="E31" s="156" t="s">
        <v>826</v>
      </c>
      <c r="F31" s="18" t="s">
        <v>837</v>
      </c>
      <c r="G31" s="18"/>
      <c r="H31" s="18"/>
      <c r="I31" s="18"/>
      <c r="J31" s="307"/>
      <c r="K31" s="308"/>
      <c r="L31" s="308"/>
      <c r="M31" s="309"/>
      <c r="N31" s="309"/>
      <c r="O31" s="309"/>
      <c r="P31" s="310"/>
      <c r="Q31" s="309"/>
      <c r="R31" s="307"/>
      <c r="S31" s="18"/>
      <c r="T31" s="18"/>
      <c r="U31" s="18"/>
      <c r="V31" s="18">
        <v>3</v>
      </c>
      <c r="W31" s="18"/>
      <c r="X31" s="18"/>
      <c r="Y31" s="18"/>
      <c r="Z31" s="84" t="s">
        <v>838</v>
      </c>
      <c r="AA31" s="205"/>
      <c r="AB31" s="7"/>
      <c r="AC31" s="4"/>
    </row>
    <row r="32" spans="1:29" ht="101.45">
      <c r="A32" s="4"/>
      <c r="B32" s="4"/>
      <c r="C32" s="7"/>
      <c r="D32" s="18" t="s">
        <v>839</v>
      </c>
      <c r="E32" s="156" t="s">
        <v>826</v>
      </c>
      <c r="F32" s="18" t="s">
        <v>840</v>
      </c>
      <c r="G32" s="18"/>
      <c r="H32" s="18"/>
      <c r="I32" s="18"/>
      <c r="J32" s="307"/>
      <c r="K32" s="308"/>
      <c r="L32" s="308"/>
      <c r="M32" s="309"/>
      <c r="N32" s="309"/>
      <c r="O32" s="309"/>
      <c r="P32" s="310"/>
      <c r="Q32" s="309"/>
      <c r="R32" s="307"/>
      <c r="S32" s="18"/>
      <c r="T32" s="18"/>
      <c r="U32" s="14" t="s">
        <v>841</v>
      </c>
      <c r="V32" s="18">
        <v>4</v>
      </c>
      <c r="W32" s="18"/>
      <c r="X32" s="18"/>
      <c r="Y32" s="18"/>
      <c r="Z32" s="18" t="s">
        <v>828</v>
      </c>
      <c r="AA32" s="18"/>
      <c r="AB32" s="7"/>
      <c r="AC32" s="4"/>
    </row>
    <row r="33" spans="1:29" ht="101.45">
      <c r="A33" s="4"/>
      <c r="B33" s="4"/>
      <c r="C33" s="7"/>
      <c r="D33" s="18" t="s">
        <v>842</v>
      </c>
      <c r="E33" s="156" t="s">
        <v>826</v>
      </c>
      <c r="F33" s="18" t="s">
        <v>843</v>
      </c>
      <c r="G33" s="18"/>
      <c r="H33" s="18"/>
      <c r="I33" s="18"/>
      <c r="J33" s="307"/>
      <c r="K33" s="308"/>
      <c r="L33" s="308"/>
      <c r="M33" s="309"/>
      <c r="N33" s="309"/>
      <c r="O33" s="309"/>
      <c r="P33" s="310"/>
      <c r="Q33" s="309"/>
      <c r="R33" s="307"/>
      <c r="S33" s="18"/>
      <c r="T33" s="18"/>
      <c r="U33" s="205"/>
      <c r="V33" s="18">
        <v>5</v>
      </c>
      <c r="W33" s="18"/>
      <c r="X33" s="18"/>
      <c r="Y33" s="18"/>
      <c r="Z33" s="18" t="s">
        <v>828</v>
      </c>
      <c r="AA33" s="18"/>
      <c r="AB33" s="7"/>
      <c r="AC33" s="4"/>
    </row>
    <row r="34" spans="1:29" ht="101.45">
      <c r="A34" s="4"/>
      <c r="B34" s="4"/>
      <c r="C34" s="7"/>
      <c r="D34" s="18" t="s">
        <v>844</v>
      </c>
      <c r="E34" s="156" t="s">
        <v>826</v>
      </c>
      <c r="F34" s="18" t="s">
        <v>845</v>
      </c>
      <c r="G34" s="18"/>
      <c r="H34" s="18"/>
      <c r="I34" s="18"/>
      <c r="J34" s="307"/>
      <c r="K34" s="308"/>
      <c r="L34" s="308"/>
      <c r="M34" s="309"/>
      <c r="N34" s="309"/>
      <c r="O34" s="309"/>
      <c r="P34" s="310"/>
      <c r="Q34" s="309"/>
      <c r="R34" s="307"/>
      <c r="S34" s="18"/>
      <c r="T34" s="18"/>
      <c r="U34" s="205"/>
      <c r="V34" s="18">
        <v>6</v>
      </c>
      <c r="W34" s="18"/>
      <c r="X34" s="18"/>
      <c r="Y34" s="18"/>
      <c r="Z34" s="18" t="s">
        <v>828</v>
      </c>
      <c r="AA34" s="18"/>
      <c r="AB34" s="7"/>
      <c r="AC34" s="4"/>
    </row>
    <row r="35" spans="1:29" ht="101.45">
      <c r="A35" s="4"/>
      <c r="B35" s="4"/>
      <c r="C35" s="7"/>
      <c r="D35" s="18" t="s">
        <v>846</v>
      </c>
      <c r="E35" s="156" t="s">
        <v>826</v>
      </c>
      <c r="F35" s="18" t="s">
        <v>847</v>
      </c>
      <c r="G35" s="18"/>
      <c r="H35" s="18"/>
      <c r="I35" s="18"/>
      <c r="J35" s="307"/>
      <c r="K35" s="308"/>
      <c r="L35" s="308"/>
      <c r="M35" s="309"/>
      <c r="N35" s="309"/>
      <c r="O35" s="309"/>
      <c r="P35" s="310"/>
      <c r="Q35" s="309"/>
      <c r="R35" s="307"/>
      <c r="S35" s="18"/>
      <c r="T35" s="18"/>
      <c r="U35" s="84" t="s">
        <v>848</v>
      </c>
      <c r="V35" s="18">
        <v>7</v>
      </c>
      <c r="W35" s="18"/>
      <c r="X35" s="18"/>
      <c r="Y35" s="18"/>
      <c r="Z35" s="18" t="s">
        <v>828</v>
      </c>
      <c r="AA35" s="14" t="s">
        <v>849</v>
      </c>
      <c r="AB35" s="7"/>
      <c r="AC35" s="4"/>
    </row>
    <row r="36" spans="1:29" ht="101.45">
      <c r="A36" s="4"/>
      <c r="B36" s="4"/>
      <c r="C36" s="7"/>
      <c r="D36" s="18" t="s">
        <v>850</v>
      </c>
      <c r="E36" s="156" t="s">
        <v>826</v>
      </c>
      <c r="F36" s="18" t="s">
        <v>851</v>
      </c>
      <c r="G36" s="18"/>
      <c r="H36" s="18"/>
      <c r="I36" s="18"/>
      <c r="J36" s="307"/>
      <c r="K36" s="308"/>
      <c r="L36" s="308"/>
      <c r="M36" s="309"/>
      <c r="N36" s="309"/>
      <c r="O36" s="309"/>
      <c r="P36" s="310"/>
      <c r="Q36" s="309"/>
      <c r="R36" s="307"/>
      <c r="S36" s="18"/>
      <c r="T36" s="18"/>
      <c r="U36" s="205"/>
      <c r="V36" s="18">
        <v>8</v>
      </c>
      <c r="W36" s="18"/>
      <c r="X36" s="18"/>
      <c r="Y36" s="18"/>
      <c r="Z36" s="18" t="s">
        <v>828</v>
      </c>
      <c r="AA36" s="18"/>
      <c r="AB36" s="7"/>
      <c r="AC36" s="4"/>
    </row>
    <row r="37" spans="1:29" ht="101.45">
      <c r="A37" s="4"/>
      <c r="B37" s="4"/>
      <c r="C37" s="7"/>
      <c r="D37" s="18" t="s">
        <v>852</v>
      </c>
      <c r="E37" s="156" t="s">
        <v>826</v>
      </c>
      <c r="F37" s="18" t="s">
        <v>853</v>
      </c>
      <c r="G37" s="18"/>
      <c r="H37" s="18"/>
      <c r="I37" s="18"/>
      <c r="J37" s="307"/>
      <c r="K37" s="308"/>
      <c r="L37" s="308"/>
      <c r="M37" s="309"/>
      <c r="N37" s="309"/>
      <c r="O37" s="309"/>
      <c r="P37" s="310"/>
      <c r="Q37" s="309"/>
      <c r="R37" s="307"/>
      <c r="S37" s="18"/>
      <c r="T37" s="18"/>
      <c r="U37" s="84" t="s">
        <v>854</v>
      </c>
      <c r="V37" s="18">
        <v>9</v>
      </c>
      <c r="W37" s="18"/>
      <c r="X37" s="18"/>
      <c r="Y37" s="18"/>
      <c r="Z37" s="18" t="s">
        <v>828</v>
      </c>
      <c r="AA37" s="18"/>
      <c r="AB37" s="7"/>
      <c r="AC37" s="4"/>
    </row>
    <row r="38" spans="1:29" ht="101.45">
      <c r="A38" s="4"/>
      <c r="B38" s="4"/>
      <c r="C38" s="7"/>
      <c r="D38" s="18" t="s">
        <v>855</v>
      </c>
      <c r="E38" s="156" t="s">
        <v>826</v>
      </c>
      <c r="F38" s="18" t="s">
        <v>856</v>
      </c>
      <c r="G38" s="18"/>
      <c r="H38" s="18"/>
      <c r="I38" s="18"/>
      <c r="J38" s="307"/>
      <c r="K38" s="308"/>
      <c r="L38" s="308"/>
      <c r="M38" s="309"/>
      <c r="N38" s="309"/>
      <c r="O38" s="309"/>
      <c r="P38" s="310"/>
      <c r="Q38" s="309"/>
      <c r="R38" s="307"/>
      <c r="S38" s="18"/>
      <c r="T38" s="18"/>
      <c r="U38" s="84" t="s">
        <v>857</v>
      </c>
      <c r="V38" s="18">
        <v>9</v>
      </c>
      <c r="W38" s="18"/>
      <c r="X38" s="18"/>
      <c r="Y38" s="18"/>
      <c r="Z38" s="18" t="s">
        <v>828</v>
      </c>
      <c r="AA38" s="18" t="s">
        <v>858</v>
      </c>
      <c r="AB38" s="7"/>
      <c r="AC38" s="4"/>
    </row>
    <row r="39" spans="1:29" ht="101.45">
      <c r="A39" s="4"/>
      <c r="B39" s="4"/>
      <c r="C39" s="7"/>
      <c r="D39" s="18" t="s">
        <v>859</v>
      </c>
      <c r="E39" s="156" t="s">
        <v>826</v>
      </c>
      <c r="F39" s="18" t="s">
        <v>856</v>
      </c>
      <c r="G39" s="18"/>
      <c r="H39" s="18"/>
      <c r="I39" s="18"/>
      <c r="J39" s="307"/>
      <c r="K39" s="308"/>
      <c r="L39" s="308"/>
      <c r="M39" s="309"/>
      <c r="N39" s="309"/>
      <c r="O39" s="309"/>
      <c r="P39" s="310"/>
      <c r="Q39" s="309"/>
      <c r="R39" s="307"/>
      <c r="S39" s="18"/>
      <c r="T39" s="18"/>
      <c r="U39" s="84" t="s">
        <v>857</v>
      </c>
      <c r="V39" s="18">
        <v>10</v>
      </c>
      <c r="W39" s="18"/>
      <c r="X39" s="18"/>
      <c r="Y39" s="18"/>
      <c r="Z39" s="18" t="s">
        <v>828</v>
      </c>
      <c r="AA39" s="18" t="s">
        <v>858</v>
      </c>
      <c r="AB39" s="7"/>
      <c r="AC39" s="4"/>
    </row>
    <row r="40" spans="1:29" ht="101.45">
      <c r="A40" s="4"/>
      <c r="B40" s="4"/>
      <c r="C40" s="7"/>
      <c r="D40" s="18" t="s">
        <v>860</v>
      </c>
      <c r="E40" s="156" t="s">
        <v>826</v>
      </c>
      <c r="F40" s="18" t="s">
        <v>856</v>
      </c>
      <c r="G40" s="18"/>
      <c r="H40" s="18"/>
      <c r="I40" s="18"/>
      <c r="J40" s="307"/>
      <c r="K40" s="308"/>
      <c r="L40" s="308"/>
      <c r="M40" s="309"/>
      <c r="N40" s="309"/>
      <c r="O40" s="309"/>
      <c r="P40" s="310"/>
      <c r="Q40" s="309"/>
      <c r="R40" s="307"/>
      <c r="S40" s="18"/>
      <c r="T40" s="18"/>
      <c r="U40" s="84" t="s">
        <v>857</v>
      </c>
      <c r="V40" s="18">
        <v>11</v>
      </c>
      <c r="W40" s="18"/>
      <c r="X40" s="18"/>
      <c r="Y40" s="18"/>
      <c r="Z40" s="18" t="s">
        <v>828</v>
      </c>
      <c r="AA40" s="18" t="s">
        <v>858</v>
      </c>
      <c r="AB40" s="7"/>
      <c r="AC40" s="4"/>
    </row>
    <row r="41" spans="1:29" ht="101.45">
      <c r="A41" s="4"/>
      <c r="B41" s="4"/>
      <c r="C41" s="7"/>
      <c r="D41" s="18" t="s">
        <v>861</v>
      </c>
      <c r="E41" s="156" t="s">
        <v>826</v>
      </c>
      <c r="F41" s="18" t="s">
        <v>856</v>
      </c>
      <c r="G41" s="18"/>
      <c r="H41" s="18"/>
      <c r="I41" s="18"/>
      <c r="J41" s="307"/>
      <c r="K41" s="308"/>
      <c r="L41" s="308"/>
      <c r="M41" s="309"/>
      <c r="N41" s="309"/>
      <c r="O41" s="309"/>
      <c r="P41" s="310"/>
      <c r="Q41" s="309"/>
      <c r="R41" s="307"/>
      <c r="S41" s="18"/>
      <c r="T41" s="18"/>
      <c r="U41" s="84" t="s">
        <v>857</v>
      </c>
      <c r="V41" s="18">
        <v>12</v>
      </c>
      <c r="W41" s="18"/>
      <c r="X41" s="18"/>
      <c r="Y41" s="18"/>
      <c r="Z41" s="18" t="s">
        <v>828</v>
      </c>
      <c r="AA41" s="18" t="s">
        <v>858</v>
      </c>
      <c r="AB41" s="7"/>
      <c r="AC41" s="4"/>
    </row>
    <row r="42" spans="1:29" ht="101.45">
      <c r="A42" s="4"/>
      <c r="B42" s="4"/>
      <c r="C42" s="7"/>
      <c r="D42" s="18" t="s">
        <v>862</v>
      </c>
      <c r="E42" s="156" t="s">
        <v>826</v>
      </c>
      <c r="F42" s="18" t="s">
        <v>863</v>
      </c>
      <c r="G42" s="18"/>
      <c r="H42" s="18"/>
      <c r="I42" s="18"/>
      <c r="J42" s="307"/>
      <c r="K42" s="308"/>
      <c r="L42" s="308"/>
      <c r="M42" s="309"/>
      <c r="N42" s="309"/>
      <c r="O42" s="309"/>
      <c r="P42" s="310"/>
      <c r="Q42" s="309"/>
      <c r="R42" s="307"/>
      <c r="S42" s="18"/>
      <c r="T42" s="18"/>
      <c r="U42" s="84" t="s">
        <v>864</v>
      </c>
      <c r="V42" s="18">
        <v>11</v>
      </c>
      <c r="W42" s="18"/>
      <c r="X42" s="18"/>
      <c r="Y42" s="18"/>
      <c r="Z42" s="18" t="s">
        <v>828</v>
      </c>
      <c r="AA42" s="14" t="s">
        <v>865</v>
      </c>
      <c r="AB42" s="7"/>
      <c r="AC42" s="4"/>
    </row>
    <row r="43" spans="1:29" ht="101.45">
      <c r="A43" s="4"/>
      <c r="B43" s="4"/>
      <c r="C43" s="7"/>
      <c r="D43" s="18" t="s">
        <v>866</v>
      </c>
      <c r="E43" s="156" t="s">
        <v>826</v>
      </c>
      <c r="F43" s="18" t="s">
        <v>863</v>
      </c>
      <c r="G43" s="18"/>
      <c r="H43" s="18"/>
      <c r="I43" s="18"/>
      <c r="J43" s="307"/>
      <c r="K43" s="308"/>
      <c r="L43" s="308"/>
      <c r="M43" s="309"/>
      <c r="N43" s="309"/>
      <c r="O43" s="309"/>
      <c r="P43" s="310"/>
      <c r="Q43" s="309"/>
      <c r="R43" s="307"/>
      <c r="S43" s="18"/>
      <c r="T43" s="18"/>
      <c r="U43" s="84" t="s">
        <v>867</v>
      </c>
      <c r="V43" s="18">
        <v>12</v>
      </c>
      <c r="W43" s="18"/>
      <c r="X43" s="18"/>
      <c r="Y43" s="18"/>
      <c r="Z43" s="18" t="s">
        <v>828</v>
      </c>
      <c r="AA43" s="14" t="s">
        <v>865</v>
      </c>
      <c r="AB43" s="7"/>
      <c r="AC43" s="4"/>
    </row>
    <row r="44" spans="1:29" ht="101.45">
      <c r="A44" s="4"/>
      <c r="B44" s="4"/>
      <c r="C44" s="7"/>
      <c r="D44" s="18" t="s">
        <v>868</v>
      </c>
      <c r="E44" s="156" t="s">
        <v>826</v>
      </c>
      <c r="F44" s="18" t="s">
        <v>863</v>
      </c>
      <c r="G44" s="18"/>
      <c r="H44" s="18"/>
      <c r="I44" s="18"/>
      <c r="J44" s="307"/>
      <c r="K44" s="308"/>
      <c r="L44" s="308"/>
      <c r="M44" s="309"/>
      <c r="N44" s="309"/>
      <c r="O44" s="309"/>
      <c r="P44" s="310"/>
      <c r="Q44" s="309"/>
      <c r="R44" s="307"/>
      <c r="S44" s="18"/>
      <c r="T44" s="18"/>
      <c r="U44" s="84" t="s">
        <v>869</v>
      </c>
      <c r="V44" s="18">
        <v>13</v>
      </c>
      <c r="W44" s="18"/>
      <c r="X44" s="18"/>
      <c r="Y44" s="18"/>
      <c r="Z44" s="18" t="s">
        <v>828</v>
      </c>
      <c r="AA44" s="14" t="s">
        <v>865</v>
      </c>
      <c r="AB44" s="7"/>
      <c r="AC44" s="4"/>
    </row>
    <row r="45" spans="1:29" ht="101.45">
      <c r="A45" s="4"/>
      <c r="B45" s="4"/>
      <c r="C45" s="7"/>
      <c r="D45" s="18" t="s">
        <v>410</v>
      </c>
      <c r="E45" s="156" t="s">
        <v>826</v>
      </c>
      <c r="F45" s="18" t="s">
        <v>870</v>
      </c>
      <c r="G45" s="18"/>
      <c r="H45" s="18"/>
      <c r="I45" s="18"/>
      <c r="J45" s="307"/>
      <c r="K45" s="308"/>
      <c r="L45" s="308"/>
      <c r="M45" s="309"/>
      <c r="N45" s="309"/>
      <c r="O45" s="309"/>
      <c r="P45" s="310"/>
      <c r="Q45" s="309"/>
      <c r="R45" s="307"/>
      <c r="S45" s="18"/>
      <c r="T45" s="18"/>
      <c r="U45" s="311"/>
      <c r="V45" s="18">
        <v>14</v>
      </c>
      <c r="W45" s="18"/>
      <c r="X45" s="18"/>
      <c r="Y45" s="18"/>
      <c r="Z45" s="14" t="s">
        <v>71</v>
      </c>
      <c r="AA45" s="252"/>
      <c r="AB45" s="7"/>
      <c r="AC45" s="4"/>
    </row>
    <row r="46" spans="1:29" ht="29.1">
      <c r="A46" s="4"/>
      <c r="B46" s="4"/>
      <c r="C46" s="7"/>
      <c r="D46" s="18" t="s">
        <v>871</v>
      </c>
      <c r="E46" s="156" t="s">
        <v>872</v>
      </c>
      <c r="F46" s="18" t="s">
        <v>873</v>
      </c>
      <c r="G46" s="18"/>
      <c r="H46" s="18"/>
      <c r="I46" s="18"/>
      <c r="J46" s="307"/>
      <c r="K46" s="307"/>
      <c r="L46" s="308"/>
      <c r="M46" s="309"/>
      <c r="N46" s="309"/>
      <c r="O46" s="309"/>
      <c r="P46" s="309"/>
      <c r="Q46" s="309"/>
      <c r="R46" s="307"/>
      <c r="S46" s="18"/>
      <c r="T46" s="18"/>
      <c r="U46" s="344"/>
      <c r="V46" s="205"/>
      <c r="W46" s="205"/>
      <c r="X46" s="205"/>
      <c r="Y46" s="205"/>
      <c r="Z46" s="252"/>
      <c r="AA46" s="252"/>
      <c r="AB46" s="7"/>
      <c r="AC46" s="4"/>
    </row>
    <row r="47" spans="1:29">
      <c r="A47" s="4"/>
      <c r="B47" s="4"/>
      <c r="C47" s="7"/>
      <c r="D47" s="236"/>
      <c r="E47" s="253"/>
      <c r="F47" s="236"/>
      <c r="G47" s="236"/>
      <c r="H47" s="236"/>
      <c r="I47" s="236"/>
      <c r="J47" s="237"/>
      <c r="K47" s="237"/>
      <c r="L47" s="237"/>
      <c r="M47" s="236"/>
      <c r="N47" s="236"/>
      <c r="O47" s="236"/>
      <c r="P47" s="236"/>
      <c r="Q47" s="106"/>
      <c r="R47" s="236"/>
      <c r="S47" s="236"/>
      <c r="T47" s="236"/>
      <c r="U47" s="236"/>
      <c r="V47" s="236"/>
      <c r="W47" s="236"/>
      <c r="X47" s="236"/>
      <c r="Y47" s="236"/>
      <c r="Z47" s="236"/>
      <c r="AA47" s="106"/>
      <c r="AB47" s="7"/>
      <c r="AC47" s="4"/>
    </row>
    <row r="48" spans="1:29">
      <c r="A48" s="4"/>
      <c r="B48" s="4"/>
      <c r="C48" s="4"/>
      <c r="D48" s="207"/>
      <c r="E48" s="207"/>
      <c r="F48" s="207"/>
      <c r="G48" s="207"/>
      <c r="H48" s="207"/>
      <c r="I48" s="207"/>
      <c r="J48" s="208"/>
      <c r="K48" s="208"/>
      <c r="L48" s="208"/>
      <c r="M48" s="207"/>
      <c r="N48" s="207"/>
      <c r="O48" s="207"/>
      <c r="P48" s="207"/>
      <c r="Q48" s="21"/>
      <c r="R48" s="207"/>
      <c r="S48" s="207"/>
      <c r="T48" s="207"/>
      <c r="U48" s="207"/>
      <c r="V48" s="207"/>
      <c r="W48" s="207"/>
      <c r="X48" s="207"/>
      <c r="Y48" s="207"/>
      <c r="Z48" s="207"/>
      <c r="AA48" s="207"/>
      <c r="AB48" s="4"/>
      <c r="AC48" s="4"/>
    </row>
    <row r="49" spans="1:29" ht="18.600000000000001">
      <c r="A49" s="101"/>
      <c r="B49" s="101"/>
      <c r="C49" s="102" t="s">
        <v>78</v>
      </c>
      <c r="D49" s="207"/>
      <c r="E49" s="207"/>
      <c r="F49" s="207"/>
      <c r="G49" s="207"/>
      <c r="H49" s="207"/>
      <c r="I49" s="207"/>
      <c r="J49" s="208"/>
      <c r="K49" s="208"/>
      <c r="L49" s="208"/>
      <c r="M49" s="207"/>
      <c r="N49" s="207"/>
      <c r="O49" s="207"/>
      <c r="P49" s="207"/>
      <c r="Q49" s="21"/>
      <c r="R49" s="207"/>
      <c r="S49" s="207"/>
      <c r="T49" s="207"/>
      <c r="U49" s="207"/>
      <c r="V49" s="207"/>
      <c r="W49" s="207"/>
      <c r="X49" s="207"/>
      <c r="Y49" s="207"/>
      <c r="Z49" s="207"/>
      <c r="AA49" s="207"/>
      <c r="AB49" s="4"/>
      <c r="AC49" s="4"/>
    </row>
    <row r="50" spans="1:29" outlineLevel="1">
      <c r="A50" s="4"/>
      <c r="B50" s="4"/>
      <c r="C50" s="4"/>
      <c r="D50" s="207"/>
      <c r="E50" s="207"/>
      <c r="F50" s="207"/>
      <c r="G50" s="207"/>
      <c r="H50" s="207"/>
      <c r="I50" s="207"/>
      <c r="J50" s="208"/>
      <c r="K50" s="208"/>
      <c r="L50" s="208"/>
      <c r="M50" s="207"/>
      <c r="N50" s="207"/>
      <c r="O50" s="207"/>
      <c r="P50" s="207"/>
      <c r="Q50" s="21"/>
      <c r="R50" s="207"/>
      <c r="S50" s="207"/>
      <c r="T50" s="207"/>
      <c r="U50" s="207"/>
      <c r="V50" s="207"/>
      <c r="W50" s="207"/>
      <c r="X50" s="207"/>
      <c r="Y50" s="207"/>
      <c r="Z50" s="207"/>
      <c r="AA50" s="207"/>
      <c r="AB50" s="4"/>
      <c r="AC50" s="4"/>
    </row>
    <row r="51" spans="1:29" ht="14.45" customHeight="1" outlineLevel="1">
      <c r="A51" s="4"/>
      <c r="B51" s="4"/>
      <c r="C51" s="169">
        <v>1</v>
      </c>
      <c r="D51" s="7" t="s">
        <v>874</v>
      </c>
      <c r="E51" s="7"/>
      <c r="F51" s="7"/>
      <c r="G51" s="7"/>
      <c r="H51" s="7"/>
      <c r="I51" s="7"/>
      <c r="J51" s="7"/>
      <c r="K51" s="7"/>
      <c r="L51" s="7"/>
      <c r="M51" s="7"/>
      <c r="N51" s="7"/>
      <c r="O51" s="7"/>
      <c r="P51" s="7"/>
      <c r="Q51" s="7"/>
      <c r="R51" s="7"/>
      <c r="S51" s="7"/>
      <c r="T51" s="7"/>
      <c r="U51" s="7"/>
      <c r="V51" s="7"/>
      <c r="W51" s="7"/>
      <c r="X51" s="7"/>
      <c r="Y51" s="7"/>
      <c r="Z51" s="7"/>
      <c r="AA51" s="7"/>
      <c r="AB51" s="7"/>
      <c r="AC51" s="4"/>
    </row>
    <row r="52" spans="1:29" ht="14.45" customHeight="1" outlineLevel="1">
      <c r="A52" s="4"/>
      <c r="B52" s="4"/>
      <c r="C52" s="169">
        <v>1</v>
      </c>
      <c r="D52" s="7" t="s">
        <v>875</v>
      </c>
      <c r="E52" s="7"/>
      <c r="F52" s="7"/>
      <c r="G52" s="7"/>
      <c r="H52" s="7"/>
      <c r="I52" s="7"/>
      <c r="J52" s="7"/>
      <c r="K52" s="7"/>
      <c r="L52" s="7"/>
      <c r="M52" s="7"/>
      <c r="N52" s="7"/>
      <c r="O52" s="7"/>
      <c r="P52" s="7"/>
      <c r="Q52" s="7"/>
      <c r="R52" s="7"/>
      <c r="S52" s="7"/>
      <c r="T52" s="7"/>
      <c r="U52" s="7"/>
      <c r="V52" s="7"/>
      <c r="W52" s="7"/>
      <c r="X52" s="7"/>
      <c r="Y52" s="7"/>
      <c r="Z52" s="7"/>
      <c r="AA52" s="7"/>
      <c r="AB52" s="7"/>
      <c r="AC52" s="4"/>
    </row>
    <row r="53" spans="1:29" ht="14.45" customHeight="1" outlineLevel="1">
      <c r="A53" s="4"/>
      <c r="B53" s="4"/>
      <c r="C53" s="169">
        <v>2</v>
      </c>
      <c r="D53" s="7" t="s">
        <v>876</v>
      </c>
      <c r="E53" s="7"/>
      <c r="F53" s="7"/>
      <c r="G53" s="7"/>
      <c r="H53" s="7"/>
      <c r="I53" s="7"/>
      <c r="J53" s="7"/>
      <c r="K53" s="7"/>
      <c r="L53" s="7"/>
      <c r="M53" s="7"/>
      <c r="N53" s="7"/>
      <c r="O53" s="7"/>
      <c r="P53" s="7"/>
      <c r="Q53" s="7"/>
      <c r="R53" s="7"/>
      <c r="S53" s="7"/>
      <c r="T53" s="7"/>
      <c r="U53" s="7"/>
      <c r="V53" s="7"/>
      <c r="W53" s="7"/>
      <c r="X53" s="7"/>
      <c r="Y53" s="7"/>
      <c r="Z53" s="7"/>
      <c r="AA53" s="7"/>
      <c r="AB53" s="7"/>
      <c r="AC53" s="4"/>
    </row>
    <row r="54" spans="1:29" ht="14.45" customHeight="1" outlineLevel="1">
      <c r="A54" s="4"/>
      <c r="B54" s="4"/>
      <c r="C54" s="169">
        <v>2</v>
      </c>
      <c r="D54" s="7" t="s">
        <v>877</v>
      </c>
      <c r="E54" s="7"/>
      <c r="F54" s="7"/>
      <c r="G54" s="7"/>
      <c r="H54" s="7"/>
      <c r="I54" s="7"/>
      <c r="J54" s="7"/>
      <c r="K54" s="7"/>
      <c r="L54" s="7"/>
      <c r="M54" s="7"/>
      <c r="N54" s="7"/>
      <c r="O54" s="7"/>
      <c r="P54" s="7"/>
      <c r="Q54" s="7"/>
      <c r="R54" s="7"/>
      <c r="S54" s="7"/>
      <c r="T54" s="7"/>
      <c r="U54" s="7"/>
      <c r="V54" s="7"/>
      <c r="W54" s="7"/>
      <c r="X54" s="7"/>
      <c r="Y54" s="7"/>
      <c r="Z54" s="7"/>
      <c r="AA54" s="7"/>
      <c r="AB54" s="7"/>
      <c r="AC54" s="4"/>
    </row>
    <row r="55" spans="1:29" ht="14.45" customHeight="1" outlineLevel="1">
      <c r="A55" s="4"/>
      <c r="B55" s="4"/>
      <c r="C55" s="169">
        <v>2</v>
      </c>
      <c r="D55" s="7" t="s">
        <v>878</v>
      </c>
      <c r="E55" s="7"/>
      <c r="F55" s="7"/>
      <c r="G55" s="7"/>
      <c r="H55" s="7"/>
      <c r="I55" s="7"/>
      <c r="J55" s="7"/>
      <c r="K55" s="7"/>
      <c r="L55" s="7"/>
      <c r="M55" s="7"/>
      <c r="N55" s="7"/>
      <c r="O55" s="7"/>
      <c r="P55" s="7"/>
      <c r="Q55" s="7"/>
      <c r="R55" s="7"/>
      <c r="S55" s="7"/>
      <c r="T55" s="7"/>
      <c r="U55" s="7"/>
      <c r="V55" s="7"/>
      <c r="W55" s="7"/>
      <c r="X55" s="7"/>
      <c r="Y55" s="7"/>
      <c r="Z55" s="7"/>
      <c r="AA55" s="7"/>
      <c r="AB55" s="7"/>
      <c r="AC55" s="4"/>
    </row>
    <row r="56" spans="1:29" ht="14.45" customHeight="1" outlineLevel="1">
      <c r="A56" s="4"/>
      <c r="B56" s="4"/>
      <c r="C56" s="7"/>
      <c r="D56" s="70" t="s">
        <v>879</v>
      </c>
      <c r="E56" s="70"/>
      <c r="F56" s="7"/>
      <c r="G56" s="7"/>
      <c r="H56" s="7"/>
      <c r="I56" s="7"/>
      <c r="J56" s="7"/>
      <c r="K56" s="7"/>
      <c r="L56" s="7"/>
      <c r="M56" s="7"/>
      <c r="N56" s="7"/>
      <c r="O56" s="7"/>
      <c r="P56" s="7"/>
      <c r="Q56" s="7"/>
      <c r="R56" s="7"/>
      <c r="S56" s="7"/>
      <c r="T56" s="7"/>
      <c r="U56" s="7"/>
      <c r="V56" s="7"/>
      <c r="W56" s="7"/>
      <c r="X56" s="7"/>
      <c r="Y56" s="7"/>
      <c r="Z56" s="7"/>
      <c r="AA56" s="7"/>
      <c r="AB56" s="7"/>
      <c r="AC56" s="4"/>
    </row>
    <row r="57" spans="1:29" outlineLevel="1">
      <c r="A57" s="4"/>
      <c r="B57" s="4"/>
      <c r="C57" s="7"/>
      <c r="D57" s="70" t="s">
        <v>880</v>
      </c>
      <c r="E57" s="70"/>
      <c r="F57" s="7"/>
      <c r="G57" s="7"/>
      <c r="H57" s="7"/>
      <c r="I57" s="7"/>
      <c r="J57" s="7"/>
      <c r="K57" s="7"/>
      <c r="L57" s="7"/>
      <c r="M57" s="7"/>
      <c r="N57" s="7"/>
      <c r="O57" s="7"/>
      <c r="P57" s="7"/>
      <c r="Q57" s="7"/>
      <c r="R57" s="7"/>
      <c r="S57" s="7"/>
      <c r="T57" s="7"/>
      <c r="U57" s="7"/>
      <c r="V57" s="7"/>
      <c r="W57" s="7"/>
      <c r="X57" s="7"/>
      <c r="Y57" s="7"/>
      <c r="Z57" s="7"/>
      <c r="AA57" s="7"/>
      <c r="AB57" s="7"/>
      <c r="AC57" s="4"/>
    </row>
    <row r="58" spans="1:29" outlineLevel="1">
      <c r="A58" s="4"/>
      <c r="B58" s="4"/>
      <c r="C58" s="7"/>
      <c r="D58" s="70" t="s">
        <v>881</v>
      </c>
      <c r="E58" s="70"/>
      <c r="F58" s="7"/>
      <c r="G58" s="7"/>
      <c r="H58" s="7"/>
      <c r="I58" s="7"/>
      <c r="J58" s="7"/>
      <c r="K58" s="7"/>
      <c r="L58" s="7"/>
      <c r="M58" s="7"/>
      <c r="N58" s="7"/>
      <c r="O58" s="7"/>
      <c r="P58" s="7"/>
      <c r="Q58" s="7"/>
      <c r="R58" s="7"/>
      <c r="S58" s="7"/>
      <c r="T58" s="7"/>
      <c r="U58" s="7"/>
      <c r="V58" s="7"/>
      <c r="W58" s="7"/>
      <c r="X58" s="7"/>
      <c r="Y58" s="7"/>
      <c r="Z58" s="7"/>
      <c r="AA58" s="7"/>
      <c r="AB58" s="7"/>
      <c r="AC58" s="4"/>
    </row>
    <row r="59" spans="1:29" outlineLevel="1">
      <c r="A59" s="4"/>
      <c r="B59" s="4"/>
      <c r="C59" s="7"/>
      <c r="D59" s="93" t="s">
        <v>882</v>
      </c>
      <c r="E59" s="93"/>
      <c r="F59" s="7"/>
      <c r="G59" s="7"/>
      <c r="H59" s="7"/>
      <c r="I59" s="7"/>
      <c r="J59" s="7"/>
      <c r="K59" s="7"/>
      <c r="L59" s="7"/>
      <c r="M59" s="7"/>
      <c r="N59" s="7"/>
      <c r="O59" s="7"/>
      <c r="P59" s="7"/>
      <c r="Q59" s="7"/>
      <c r="R59" s="7"/>
      <c r="S59" s="7"/>
      <c r="T59" s="7"/>
      <c r="U59" s="7"/>
      <c r="V59" s="7"/>
      <c r="W59" s="7"/>
      <c r="X59" s="7"/>
      <c r="Y59" s="7"/>
      <c r="Z59" s="7"/>
      <c r="AA59" s="7"/>
      <c r="AB59" s="7"/>
      <c r="AC59" s="4"/>
    </row>
    <row r="60" spans="1:29" outlineLevel="1">
      <c r="A60" s="4"/>
      <c r="B60" s="4"/>
      <c r="C60" s="7"/>
      <c r="D60" s="70" t="s">
        <v>883</v>
      </c>
      <c r="E60" s="70"/>
      <c r="F60" s="7"/>
      <c r="G60" s="7"/>
      <c r="H60" s="7"/>
      <c r="I60" s="7"/>
      <c r="J60" s="7"/>
      <c r="K60" s="7"/>
      <c r="L60" s="7"/>
      <c r="M60" s="7"/>
      <c r="N60" s="7"/>
      <c r="O60" s="7"/>
      <c r="P60" s="7"/>
      <c r="Q60" s="7"/>
      <c r="R60" s="7"/>
      <c r="S60" s="7"/>
      <c r="T60" s="7"/>
      <c r="U60" s="7"/>
      <c r="V60" s="7"/>
      <c r="W60" s="7"/>
      <c r="X60" s="7"/>
      <c r="Y60" s="7"/>
      <c r="Z60" s="7"/>
      <c r="AA60" s="7"/>
      <c r="AB60" s="7"/>
      <c r="AC60" s="4"/>
    </row>
    <row r="61" spans="1:29" outlineLevel="1">
      <c r="A61" s="4"/>
      <c r="B61" s="4"/>
      <c r="C61" s="7"/>
      <c r="D61" s="70" t="s">
        <v>884</v>
      </c>
      <c r="E61" s="70"/>
      <c r="F61" s="7"/>
      <c r="G61" s="7"/>
      <c r="H61" s="7"/>
      <c r="I61" s="7"/>
      <c r="J61" s="7"/>
      <c r="K61" s="7"/>
      <c r="L61" s="7"/>
      <c r="M61" s="7"/>
      <c r="N61" s="7"/>
      <c r="O61" s="7"/>
      <c r="P61" s="7"/>
      <c r="Q61" s="7"/>
      <c r="R61" s="7"/>
      <c r="S61" s="7"/>
      <c r="T61" s="7"/>
      <c r="U61" s="7"/>
      <c r="V61" s="7"/>
      <c r="W61" s="7"/>
      <c r="X61" s="7"/>
      <c r="Y61" s="7"/>
      <c r="Z61" s="7"/>
      <c r="AA61" s="7"/>
      <c r="AB61" s="7"/>
      <c r="AC61" s="4"/>
    </row>
    <row r="62" spans="1:29" outlineLevel="1">
      <c r="A62" s="4"/>
      <c r="B62" s="4"/>
      <c r="C62" s="7"/>
      <c r="D62" s="70" t="s">
        <v>885</v>
      </c>
      <c r="E62" s="70"/>
      <c r="F62" s="7"/>
      <c r="G62" s="7"/>
      <c r="H62" s="7"/>
      <c r="I62" s="7"/>
      <c r="J62" s="7"/>
      <c r="K62" s="7"/>
      <c r="L62" s="7"/>
      <c r="M62" s="7"/>
      <c r="N62" s="7"/>
      <c r="O62" s="7"/>
      <c r="P62" s="7"/>
      <c r="Q62" s="7"/>
      <c r="R62" s="7"/>
      <c r="S62" s="7"/>
      <c r="T62" s="7"/>
      <c r="U62" s="7"/>
      <c r="V62" s="7"/>
      <c r="W62" s="7"/>
      <c r="X62" s="7"/>
      <c r="Y62" s="7"/>
      <c r="Z62" s="7"/>
      <c r="AA62" s="7"/>
      <c r="AB62" s="7"/>
      <c r="AC62" s="4"/>
    </row>
    <row r="63" spans="1:29" outlineLevel="1">
      <c r="A63" s="4"/>
      <c r="B63" s="4"/>
      <c r="C63" s="7"/>
      <c r="D63" s="70" t="s">
        <v>886</v>
      </c>
      <c r="E63" s="70"/>
      <c r="F63" s="7"/>
      <c r="G63" s="7"/>
      <c r="H63" s="7"/>
      <c r="I63" s="7"/>
      <c r="J63" s="7"/>
      <c r="K63" s="7"/>
      <c r="L63" s="7"/>
      <c r="M63" s="7"/>
      <c r="N63" s="7"/>
      <c r="O63" s="7"/>
      <c r="P63" s="7"/>
      <c r="Q63" s="7"/>
      <c r="R63" s="7"/>
      <c r="S63" s="7"/>
      <c r="T63" s="7"/>
      <c r="U63" s="7"/>
      <c r="V63" s="7"/>
      <c r="W63" s="7"/>
      <c r="X63" s="7"/>
      <c r="Y63" s="7"/>
      <c r="Z63" s="7"/>
      <c r="AA63" s="7"/>
      <c r="AB63" s="7"/>
      <c r="AC63" s="4"/>
    </row>
    <row r="64" spans="1:29" outlineLevel="1">
      <c r="A64" s="4"/>
      <c r="B64" s="4"/>
      <c r="C64" s="7"/>
      <c r="D64" s="70" t="s">
        <v>887</v>
      </c>
      <c r="E64" s="70"/>
      <c r="F64" s="7"/>
      <c r="G64" s="7"/>
      <c r="H64" s="7"/>
      <c r="I64" s="7"/>
      <c r="J64" s="7"/>
      <c r="K64" s="7"/>
      <c r="L64" s="7"/>
      <c r="M64" s="7"/>
      <c r="N64" s="7"/>
      <c r="O64" s="7"/>
      <c r="P64" s="7"/>
      <c r="Q64" s="7"/>
      <c r="R64" s="7"/>
      <c r="S64" s="7"/>
      <c r="T64" s="7"/>
      <c r="U64" s="7"/>
      <c r="V64" s="7"/>
      <c r="W64" s="7"/>
      <c r="X64" s="7"/>
      <c r="Y64" s="7"/>
      <c r="Z64" s="7"/>
      <c r="AA64" s="7"/>
      <c r="AB64" s="7"/>
      <c r="AC64" s="4"/>
    </row>
    <row r="65" spans="1:29" outlineLevel="1">
      <c r="A65" s="4"/>
      <c r="B65" s="4"/>
      <c r="C65" s="7"/>
      <c r="D65" s="70" t="s">
        <v>888</v>
      </c>
      <c r="E65" s="70"/>
      <c r="F65" s="7"/>
      <c r="G65" s="7"/>
      <c r="H65" s="7"/>
      <c r="I65" s="7"/>
      <c r="J65" s="7"/>
      <c r="K65" s="7"/>
      <c r="L65" s="7"/>
      <c r="M65" s="7"/>
      <c r="N65" s="7"/>
      <c r="O65" s="7"/>
      <c r="P65" s="7"/>
      <c r="Q65" s="7"/>
      <c r="R65" s="7"/>
      <c r="S65" s="7"/>
      <c r="T65" s="7"/>
      <c r="U65" s="7"/>
      <c r="V65" s="7"/>
      <c r="W65" s="7"/>
      <c r="X65" s="7"/>
      <c r="Y65" s="7"/>
      <c r="Z65" s="7"/>
      <c r="AA65" s="7"/>
      <c r="AB65" s="7"/>
      <c r="AC65" s="4"/>
    </row>
    <row r="66" spans="1:29" outlineLevel="1">
      <c r="A66" s="4"/>
      <c r="B66" s="4"/>
      <c r="C66" s="7"/>
      <c r="D66" s="7"/>
      <c r="E66" s="7"/>
      <c r="F66" s="7"/>
      <c r="G66" s="7"/>
      <c r="H66" s="7"/>
      <c r="I66" s="7"/>
      <c r="J66" s="7"/>
      <c r="K66" s="7"/>
      <c r="L66" s="7"/>
      <c r="M66" s="7"/>
      <c r="N66" s="7"/>
      <c r="O66" s="7"/>
      <c r="P66" s="7"/>
      <c r="Q66" s="7"/>
      <c r="R66" s="7"/>
      <c r="S66" s="7"/>
      <c r="T66" s="7"/>
      <c r="U66" s="7"/>
      <c r="V66" s="7"/>
      <c r="W66" s="7"/>
      <c r="X66" s="7"/>
      <c r="Y66" s="7"/>
      <c r="Z66" s="7"/>
      <c r="AA66" s="7"/>
      <c r="AB66" s="7"/>
      <c r="AC66" s="4"/>
    </row>
    <row r="67" spans="1:29">
      <c r="A67" s="4"/>
      <c r="B67" s="4"/>
      <c r="C67" s="4"/>
      <c r="D67" s="4"/>
      <c r="E67" s="4"/>
      <c r="F67" s="4"/>
      <c r="G67" s="4"/>
      <c r="H67" s="4"/>
      <c r="I67" s="4"/>
      <c r="J67" s="4"/>
      <c r="K67" s="4"/>
      <c r="L67" s="4"/>
      <c r="M67" s="4"/>
      <c r="N67" s="4"/>
      <c r="O67" s="4"/>
      <c r="P67" s="4"/>
      <c r="Q67" s="4"/>
      <c r="R67" s="4"/>
      <c r="S67" s="4"/>
      <c r="T67" s="4"/>
      <c r="U67" s="4"/>
      <c r="V67" s="4"/>
      <c r="W67" s="4"/>
      <c r="X67" s="4"/>
      <c r="Y67" s="4"/>
      <c r="Z67" s="4"/>
      <c r="AA67" s="4"/>
      <c r="AB67" s="4"/>
      <c r="AC67" s="4"/>
    </row>
  </sheetData>
  <sortState xmlns:xlrd2="http://schemas.microsoft.com/office/spreadsheetml/2017/richdata2" ref="D56:D65">
    <sortCondition ref="D56:D65"/>
  </sortState>
  <mergeCells count="2">
    <mergeCell ref="C2:AB2"/>
    <mergeCell ref="C3:AB3"/>
  </mergeCells>
  <phoneticPr fontId="1" type="noConversion"/>
  <conditionalFormatting sqref="K26:K46">
    <cfRule type="containsText" dxfId="1888" priority="3" operator="containsText" text="Pass">
      <formula>NOT(ISERROR(SEARCH("Pass",K26)))</formula>
    </cfRule>
    <cfRule type="containsText" dxfId="1887" priority="4" operator="containsText" text="Fail">
      <formula>NOT(ISERROR(SEARCH("Fail",K26)))</formula>
    </cfRule>
  </conditionalFormatting>
  <conditionalFormatting sqref="K47:K50">
    <cfRule type="iconSet" priority="604">
      <iconSet iconSet="4TrafficLights">
        <cfvo type="percent" val="0"/>
        <cfvo type="percent" val="25"/>
        <cfvo type="percent" val="50"/>
        <cfvo type="percent" val="75"/>
      </iconSet>
    </cfRule>
  </conditionalFormatting>
  <conditionalFormatting sqref="L26:Q46">
    <cfRule type="containsText" dxfId="1886" priority="1" operator="containsText" text="Exceeded baseline thresholds">
      <formula>NOT(ISERROR(SEARCH("Exceeded baseline thresholds",L26)))</formula>
    </cfRule>
    <cfRule type="containsText" dxfId="1885" priority="2" operator="containsText" text="Within baseline parameters">
      <formula>NOT(ISERROR(SEARCH("Within baseline parameters",L26)))</formula>
    </cfRule>
  </conditionalFormatting>
  <hyperlinks>
    <hyperlink ref="D59" r:id="rId1" location="continuous-validation-and-testing" display="https://learn.microsoft.com/en-us/azure/well-architected/mission-critical/mission-critical-deployment-testing - continuous-validation-and-testing" xr:uid="{35410279-9E32-4C55-8F9D-B7901C00BB36}"/>
    <hyperlink ref="D58" r:id="rId2" display="https://learn.microsoft.com/en-us/azure/well-architected/resiliency/test-checklist?source=recommendations" xr:uid="{3F4EFEEC-B5C0-4F23-9D7C-F8F5C0E19BE4}"/>
    <hyperlink ref="D63" r:id="rId3" display="https://learn.microsoft.com/en-us/azure/well-architected/resiliency/testing" xr:uid="{0D99319D-E8A5-4B40-88F8-763AC82B5F85}"/>
    <hyperlink ref="D56" r:id="rId4" display="https://learn.microsoft.com/en-us/azure/well-architected/resiliency/backup-and-recovery" xr:uid="{B0E7213D-C9AF-4D10-B4DD-D4BBC055ECD3}"/>
    <hyperlink ref="D64" r:id="rId5" display="https://learn.microsoft.com/en-us/azure/well-architected/resiliency/chaos-engineering" xr:uid="{C8E856A9-64D9-4EBA-941E-B7D31CEE5B7A}"/>
    <hyperlink ref="D57" r:id="rId6" display="https://learn.microsoft.com/en-us/azure/well-architected/resiliency/test-best-practices" xr:uid="{A84F19C1-14BA-40D4-89D2-64A0D81B210A}"/>
    <hyperlink ref="D60" r:id="rId7" display="https://learn.microsoft.com/en-us/azure/well-architected/resiliency/monitor-checklist" xr:uid="{B7516ABF-98E8-4588-840E-4B66078FE8C8}"/>
    <hyperlink ref="D62" r:id="rId8" display="https://learn.microsoft.com/en-us/azure/well-architected/resiliency/reliability-patterns" xr:uid="{5626468A-804A-4CD8-AEAD-4552F1140C22}"/>
    <hyperlink ref="D65" r:id="rId9" location="chaos-studio-scenarios" display="https://learn.microsoft.com/en-US/azure/chaos-studio/chaos-studio-overview - chaos-studio-scenarios" xr:uid="{AC27293A-B4D9-4941-B6AD-CD2B39319AAE}"/>
    <hyperlink ref="D61" r:id="rId10" display="https://learn.microsoft.com/en-us/azure/security/fundamentals/pen-testing" xr:uid="{1F9BDC4D-55B6-4F54-89CF-0839E9BD1CB0}"/>
    <hyperlink ref="U32" r:id="rId11" display="https://learn.microsoft.com/en-us/visualstudio/test/unit-test-basics?view=vs-2022" xr:uid="{606ADC48-5AF4-4066-921B-AE4FC389EEB6}"/>
    <hyperlink ref="U42" r:id="rId12" xr:uid="{FCCF9194-828D-4857-A40E-ED44E108F578}"/>
    <hyperlink ref="U43" r:id="rId13" xr:uid="{A4FB0056-5448-4EDB-9A63-08221F9F7094}"/>
    <hyperlink ref="U44" r:id="rId14" location="cloud-ddos" display="RedWorlf" xr:uid="{9903FBB6-9F20-4F09-A031-F23E74889230}"/>
    <hyperlink ref="AA42" r:id="rId15" xr:uid="{8A4DBA70-7D96-4669-BADB-5A4C8D4E87A5}"/>
    <hyperlink ref="AA43" r:id="rId16" xr:uid="{FCE11D5F-2AAE-457D-B88C-CFF45E325525}"/>
    <hyperlink ref="AA44" r:id="rId17" xr:uid="{1844D961-160E-401F-AEFD-C15724BBD44B}"/>
    <hyperlink ref="U39" r:id="rId18" display="https://learn.microsoft.com/en-us/azure/chaos-studio/" xr:uid="{02B64C8C-ED30-4EC4-8B9D-EF34C26B5974}"/>
    <hyperlink ref="U35" r:id="rId19" display="https://learn.microsoft.com/en-us/azure/load-testing/" xr:uid="{6728B51C-FB1E-4126-A29D-F7448D4B9231}"/>
    <hyperlink ref="U37" r:id="rId20" display="https://learn.microsoft.com/en-us/azure/well-architected/scalability/performance-test" xr:uid="{622404C8-D608-4836-AA20-EB7333714EBC}"/>
    <hyperlink ref="AA35" r:id="rId21" xr:uid="{46B8167E-CD40-4FDE-8347-3D69A6D0281E}"/>
    <hyperlink ref="U38" r:id="rId22" display="https://learn.microsoft.com/en-us/azure/chaos-studio/" xr:uid="{92668026-C68D-4F0C-A2F5-DCC54364EB60}"/>
    <hyperlink ref="U40" r:id="rId23" display="https://learn.microsoft.com/en-us/azure/chaos-studio/" xr:uid="{6964571F-2C80-4F35-ADC8-1F65451EC879}"/>
    <hyperlink ref="U41" r:id="rId24" display="https://learn.microsoft.com/en-us/azure/chaos-studio/" xr:uid="{B3058190-8706-4770-B964-D48D6514ED35}"/>
    <hyperlink ref="Z30" location="'4. Test Plan (Failover)'!Jul_day" display="'4. Test Plan (Failover)'!Jul_day" xr:uid="{896481F5-5383-44FB-AF49-128A4DE2ABEA}"/>
    <hyperlink ref="Z31" location="'4. Test Plan (Recover)'!Aug_day" display="&lt;link&gt;" xr:uid="{118F32F7-4126-4273-B6A9-3A871814F1CD}"/>
    <hyperlink ref="Z45" location="'4. Test Plan (UAT)'!A1" display="Test Plan (UAT)" xr:uid="{08DD1B8D-7B5B-4127-AAAB-F05F8B52694E}"/>
  </hyperlinks>
  <pageMargins left="0.7" right="0.7" top="0.75" bottom="0.75" header="0.3" footer="0.3"/>
  <pageSetup orientation="portrait" r:id="rId25"/>
  <drawing r:id="rId26"/>
  <tableParts count="1">
    <tablePart r:id="rId27"/>
  </tableParts>
  <extLst>
    <ext xmlns:x14="http://schemas.microsoft.com/office/spreadsheetml/2009/9/main" uri="{CCE6A557-97BC-4b89-ADB6-D9C93CAAB3DF}">
      <x14:dataValidations xmlns:xm="http://schemas.microsoft.com/office/excel/2006/main" count="6">
        <x14:dataValidation type="list" allowBlank="1" showInputMessage="1" showErrorMessage="1" xr:uid="{4DCCEF60-3AAB-499A-AF41-C01B833F9409}">
          <x14:formula1>
            <xm:f>Data!$F$31:$F$33</xm:f>
          </x14:formula1>
          <xm:sqref>M47:P50 S26:T46</xm:sqref>
        </x14:dataValidation>
        <x14:dataValidation type="list" allowBlank="1" showInputMessage="1" showErrorMessage="1" xr:uid="{1A06B8B4-646B-4B3E-B0B0-4B046048E908}">
          <x14:formula1>
            <xm:f>Data!$L$31:$L$32</xm:f>
          </x14:formula1>
          <xm:sqref>G26:G47</xm:sqref>
        </x14:dataValidation>
        <x14:dataValidation type="list" allowBlank="1" showInputMessage="1" showErrorMessage="1" xr:uid="{26F63292-6772-4CA5-B00A-D513F0821BA2}">
          <x14:formula1>
            <xm:f>Data!$J$16:$J$24</xm:f>
          </x14:formula1>
          <xm:sqref>I26:I47</xm:sqref>
        </x14:dataValidation>
        <x14:dataValidation type="list" allowBlank="1" showInputMessage="1" showErrorMessage="1" xr:uid="{CCC92619-C5B3-4021-9129-6C54B279AFB6}">
          <x14:formula1>
            <xm:f>Data!$L$35:$L$37</xm:f>
          </x14:formula1>
          <xm:sqref>H26:H47</xm:sqref>
        </x14:dataValidation>
        <x14:dataValidation type="list" allowBlank="1" showInputMessage="1" showErrorMessage="1" xr:uid="{C0E0D40E-741C-46E7-AD2F-ED5580D62A71}">
          <x14:formula1>
            <xm:f>Data!$H$26:$H$27</xm:f>
          </x14:formula1>
          <xm:sqref>L26:L46</xm:sqref>
        </x14:dataValidation>
        <x14:dataValidation type="list" allowBlank="1" showInputMessage="1" showErrorMessage="1" xr:uid="{D631807A-9035-4A4E-8E88-2BC339560E65}">
          <x14:formula1>
            <xm:f>Data!$H$18:$H$19</xm:f>
          </x14:formula1>
          <xm:sqref>K26:K46</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411A08-0159-4C0B-98AE-33CD8BC099FF}">
  <sheetPr>
    <tabColor rgb="FF7FBA00"/>
  </sheetPr>
  <dimension ref="A1:O146"/>
  <sheetViews>
    <sheetView showGridLines="0" showRowColHeaders="0" zoomScale="85" zoomScaleNormal="85" workbookViewId="0">
      <selection activeCell="A6" sqref="A6"/>
    </sheetView>
  </sheetViews>
  <sheetFormatPr defaultColWidth="0" defaultRowHeight="14.45" customHeight="1" zeroHeight="1" outlineLevelRow="1"/>
  <cols>
    <col min="1" max="2" width="5.85546875" customWidth="1"/>
    <col min="3" max="3" width="3.85546875" customWidth="1"/>
    <col min="4" max="4" width="20.42578125" customWidth="1"/>
    <col min="5" max="5" width="22.140625" customWidth="1"/>
    <col min="6" max="6" width="87.85546875" customWidth="1"/>
    <col min="7" max="7" width="28.42578125" customWidth="1"/>
    <col min="8" max="8" width="28.85546875" customWidth="1"/>
    <col min="9" max="10" width="13.42578125" customWidth="1"/>
    <col min="11" max="11" width="15.42578125" customWidth="1"/>
    <col min="12" max="12" width="11.42578125" customWidth="1"/>
    <col min="13" max="13" width="60" customWidth="1"/>
    <col min="14" max="15" width="3.85546875" customWidth="1"/>
    <col min="16" max="16384" width="8.85546875" hidden="1"/>
  </cols>
  <sheetData>
    <row r="1" spans="1:15">
      <c r="A1" s="4"/>
      <c r="B1" s="4"/>
      <c r="C1" s="4"/>
      <c r="D1" s="4"/>
      <c r="E1" s="4"/>
      <c r="F1" s="4"/>
      <c r="G1" s="4"/>
      <c r="H1" s="4"/>
      <c r="I1" s="4"/>
      <c r="J1" s="4"/>
      <c r="K1" s="4"/>
      <c r="L1" s="8"/>
      <c r="M1" s="4"/>
      <c r="N1" s="4"/>
      <c r="O1" s="4"/>
    </row>
    <row r="2" spans="1:15" ht="21">
      <c r="A2" s="4"/>
      <c r="B2" s="4"/>
      <c r="C2" s="618" t="s">
        <v>889</v>
      </c>
      <c r="D2" s="618"/>
      <c r="E2" s="618"/>
      <c r="F2" s="618"/>
      <c r="G2" s="618"/>
      <c r="H2" s="618"/>
      <c r="I2" s="618"/>
      <c r="J2" s="618"/>
      <c r="K2" s="618"/>
      <c r="L2" s="618"/>
      <c r="M2" s="618"/>
      <c r="N2" s="618"/>
      <c r="O2" s="4"/>
    </row>
    <row r="3" spans="1:15" ht="14.45" customHeight="1">
      <c r="A3" s="4"/>
      <c r="B3" s="4"/>
      <c r="C3" s="646" t="s">
        <v>593</v>
      </c>
      <c r="D3" s="646"/>
      <c r="E3" s="646"/>
      <c r="F3" s="646"/>
      <c r="G3" s="646"/>
      <c r="H3" s="646"/>
      <c r="I3" s="646"/>
      <c r="J3" s="646"/>
      <c r="K3" s="646"/>
      <c r="L3" s="646"/>
      <c r="M3" s="646"/>
      <c r="N3" s="646"/>
      <c r="O3" s="4"/>
    </row>
    <row r="4" spans="1:15">
      <c r="A4" s="4"/>
      <c r="B4" s="4"/>
      <c r="C4" s="8"/>
      <c r="D4" s="8"/>
      <c r="E4" s="8"/>
      <c r="F4" s="8"/>
      <c r="G4" s="8"/>
      <c r="H4" s="12"/>
      <c r="I4" s="8"/>
      <c r="J4" s="8"/>
      <c r="K4" s="8"/>
      <c r="L4" s="8"/>
      <c r="M4" s="4"/>
      <c r="N4" s="4"/>
      <c r="O4" s="4"/>
    </row>
    <row r="5" spans="1:15" ht="14.45" customHeight="1">
      <c r="A5" s="4"/>
      <c r="B5" s="4"/>
      <c r="C5" s="198"/>
      <c r="D5" s="7"/>
      <c r="E5" s="106"/>
      <c r="F5" s="7"/>
      <c r="G5" s="7"/>
      <c r="H5" s="7"/>
      <c r="I5" s="7"/>
      <c r="J5" s="7"/>
      <c r="K5" s="7"/>
      <c r="L5" s="7"/>
      <c r="M5" s="7"/>
      <c r="N5" s="7"/>
      <c r="O5" s="4"/>
    </row>
    <row r="6" spans="1:15" ht="14.45" customHeight="1">
      <c r="A6" s="4"/>
      <c r="B6" s="4"/>
      <c r="C6" s="198"/>
      <c r="D6" s="107" t="s">
        <v>890</v>
      </c>
      <c r="E6" s="648" t="s">
        <v>891</v>
      </c>
      <c r="F6" s="648"/>
      <c r="G6" s="241"/>
      <c r="H6" s="7"/>
      <c r="I6" s="7"/>
      <c r="J6" s="7"/>
      <c r="K6" s="7"/>
      <c r="L6" s="7"/>
      <c r="M6" s="7"/>
      <c r="N6" s="7"/>
      <c r="O6" s="4"/>
    </row>
    <row r="7" spans="1:15" ht="14.45" customHeight="1">
      <c r="A7" s="4"/>
      <c r="B7" s="4"/>
      <c r="C7" s="198"/>
      <c r="D7" s="107" t="s">
        <v>892</v>
      </c>
      <c r="E7" s="648" t="s">
        <v>893</v>
      </c>
      <c r="F7" s="648"/>
      <c r="G7" s="241"/>
      <c r="H7" s="7"/>
      <c r="I7" s="7"/>
      <c r="J7" s="7"/>
      <c r="K7" s="7"/>
      <c r="L7" s="7"/>
      <c r="M7" s="7"/>
      <c r="N7" s="7"/>
      <c r="O7" s="4"/>
    </row>
    <row r="8" spans="1:15" ht="14.45" customHeight="1">
      <c r="A8" s="4"/>
      <c r="B8" s="4"/>
      <c r="C8" s="198"/>
      <c r="D8" s="107" t="s">
        <v>117</v>
      </c>
      <c r="E8" s="648" t="s">
        <v>894</v>
      </c>
      <c r="F8" s="648"/>
      <c r="G8" s="241"/>
      <c r="H8" s="7"/>
      <c r="I8" s="7"/>
      <c r="J8" s="7"/>
      <c r="K8" s="7"/>
      <c r="L8" s="7"/>
      <c r="M8" s="7"/>
      <c r="N8" s="7"/>
      <c r="O8" s="4"/>
    </row>
    <row r="9" spans="1:15" ht="14.45" customHeight="1">
      <c r="A9" s="4"/>
      <c r="B9" s="4"/>
      <c r="C9" s="198"/>
      <c r="D9" s="107" t="s">
        <v>822</v>
      </c>
      <c r="E9" s="648"/>
      <c r="F9" s="648"/>
      <c r="G9" s="241"/>
      <c r="H9" s="7"/>
      <c r="I9" s="7"/>
      <c r="J9" s="7"/>
      <c r="K9" s="7"/>
      <c r="L9" s="7"/>
      <c r="M9" s="7"/>
      <c r="N9" s="7"/>
      <c r="O9" s="4"/>
    </row>
    <row r="10" spans="1:15" ht="14.45" customHeight="1">
      <c r="A10" s="4"/>
      <c r="B10" s="4"/>
      <c r="C10" s="198"/>
      <c r="D10" s="107" t="s">
        <v>895</v>
      </c>
      <c r="E10" s="648"/>
      <c r="F10" s="648"/>
      <c r="G10" s="241"/>
      <c r="H10" s="7"/>
      <c r="I10" s="7"/>
      <c r="J10" s="7"/>
      <c r="K10" s="7"/>
      <c r="L10" s="7"/>
      <c r="M10" s="7"/>
      <c r="N10" s="7"/>
      <c r="O10" s="4"/>
    </row>
    <row r="11" spans="1:15" ht="14.45" customHeight="1">
      <c r="A11" s="4"/>
      <c r="B11" s="4"/>
      <c r="C11" s="198"/>
      <c r="D11" s="107" t="s">
        <v>896</v>
      </c>
      <c r="E11" s="648"/>
      <c r="F11" s="648"/>
      <c r="G11" s="241"/>
      <c r="H11" s="7"/>
      <c r="I11" s="7"/>
      <c r="J11" s="7"/>
      <c r="K11" s="7"/>
      <c r="L11" s="7"/>
      <c r="M11" s="7"/>
      <c r="N11" s="7"/>
      <c r="O11" s="4"/>
    </row>
    <row r="12" spans="1:15" ht="14.45" customHeight="1">
      <c r="A12" s="4"/>
      <c r="B12" s="4"/>
      <c r="C12" s="198"/>
      <c r="D12" s="107" t="s">
        <v>477</v>
      </c>
      <c r="E12" s="648"/>
      <c r="F12" s="648"/>
      <c r="G12" s="241"/>
      <c r="H12" s="7"/>
      <c r="I12" s="7"/>
      <c r="J12" s="7"/>
      <c r="K12" s="7"/>
      <c r="L12" s="7"/>
      <c r="M12" s="7"/>
      <c r="N12" s="7"/>
      <c r="O12" s="4"/>
    </row>
    <row r="13" spans="1:15" ht="14.45" customHeight="1">
      <c r="A13" s="4"/>
      <c r="B13" s="4"/>
      <c r="C13" s="198"/>
      <c r="D13" s="107" t="s">
        <v>897</v>
      </c>
      <c r="E13" s="648" t="s">
        <v>317</v>
      </c>
      <c r="F13" s="648"/>
      <c r="G13" s="241"/>
      <c r="H13" s="7"/>
      <c r="I13" s="7"/>
      <c r="J13" s="7"/>
      <c r="K13" s="7"/>
      <c r="L13" s="7"/>
      <c r="M13" s="7"/>
      <c r="N13" s="7"/>
      <c r="O13" s="4"/>
    </row>
    <row r="14" spans="1:15" ht="14.45" customHeight="1">
      <c r="A14" s="4"/>
      <c r="B14" s="4"/>
      <c r="C14" s="198"/>
      <c r="D14" s="107" t="s">
        <v>267</v>
      </c>
      <c r="E14" s="650" t="s">
        <v>328</v>
      </c>
      <c r="F14" s="650"/>
      <c r="G14" s="242"/>
      <c r="H14" s="7"/>
      <c r="I14" s="7"/>
      <c r="J14" s="7"/>
      <c r="K14" s="7"/>
      <c r="L14" s="7"/>
      <c r="M14" s="7"/>
      <c r="N14" s="7"/>
      <c r="O14" s="4"/>
    </row>
    <row r="15" spans="1:15" ht="14.45" customHeight="1">
      <c r="A15" s="4"/>
      <c r="B15" s="4"/>
      <c r="C15" s="198"/>
      <c r="D15" s="107" t="s">
        <v>898</v>
      </c>
      <c r="E15" s="653" t="s">
        <v>899</v>
      </c>
      <c r="F15" s="654"/>
      <c r="G15" s="242"/>
      <c r="H15" s="7"/>
      <c r="I15" s="7"/>
      <c r="J15" s="7"/>
      <c r="K15" s="7"/>
      <c r="L15" s="7"/>
      <c r="M15" s="7"/>
      <c r="N15" s="7"/>
      <c r="O15" s="4"/>
    </row>
    <row r="16" spans="1:15" ht="14.45" customHeight="1">
      <c r="A16" s="4"/>
      <c r="B16" s="4"/>
      <c r="C16" s="198"/>
      <c r="D16" s="107" t="s">
        <v>900</v>
      </c>
      <c r="E16" s="651">
        <v>45020</v>
      </c>
      <c r="F16" s="651"/>
      <c r="G16" s="243"/>
      <c r="H16" s="7"/>
      <c r="I16" s="7"/>
      <c r="J16" s="7"/>
      <c r="K16" s="7"/>
      <c r="M16" s="7"/>
      <c r="N16" s="7"/>
      <c r="O16" s="4"/>
    </row>
    <row r="17" spans="1:15" ht="14.45" customHeight="1">
      <c r="A17" s="4"/>
      <c r="B17" s="4"/>
      <c r="C17" s="198"/>
      <c r="D17" s="107" t="s">
        <v>901</v>
      </c>
      <c r="E17" s="651">
        <v>45386</v>
      </c>
      <c r="F17" s="651"/>
      <c r="G17" s="243"/>
      <c r="H17" s="7"/>
      <c r="I17" s="7"/>
      <c r="J17" s="7"/>
      <c r="K17" s="7"/>
      <c r="L17" s="7"/>
      <c r="M17" s="7"/>
      <c r="N17" s="7"/>
      <c r="O17" s="4"/>
    </row>
    <row r="18" spans="1:15" ht="14.45" customHeight="1">
      <c r="A18" s="4"/>
      <c r="B18" s="4"/>
      <c r="C18" s="198"/>
      <c r="D18" s="107" t="s">
        <v>902</v>
      </c>
      <c r="E18" s="652">
        <v>43160</v>
      </c>
      <c r="F18" s="652"/>
      <c r="G18" s="87"/>
      <c r="H18" s="7"/>
      <c r="I18" s="7"/>
      <c r="J18" s="7"/>
      <c r="K18" s="7"/>
      <c r="L18" s="7"/>
      <c r="M18" s="7"/>
      <c r="N18" s="7"/>
      <c r="O18" s="4"/>
    </row>
    <row r="19" spans="1:15" ht="14.45" customHeight="1">
      <c r="A19" s="4"/>
      <c r="B19" s="4"/>
      <c r="C19" s="198"/>
      <c r="D19" s="107" t="s">
        <v>903</v>
      </c>
      <c r="E19" s="652" t="s">
        <v>904</v>
      </c>
      <c r="F19" s="652"/>
      <c r="G19" s="87"/>
      <c r="H19" s="7"/>
      <c r="I19" s="7"/>
      <c r="J19" s="7"/>
      <c r="K19" s="7"/>
      <c r="L19" s="7"/>
      <c r="M19" s="7"/>
      <c r="N19" s="7"/>
      <c r="O19" s="4"/>
    </row>
    <row r="20" spans="1:15" ht="14.45" customHeight="1">
      <c r="A20" s="4"/>
      <c r="B20" s="4"/>
      <c r="C20" s="198"/>
      <c r="D20" s="107" t="s">
        <v>905</v>
      </c>
      <c r="E20" s="652" t="s">
        <v>906</v>
      </c>
      <c r="F20" s="652"/>
      <c r="G20" s="87"/>
      <c r="H20" s="7"/>
      <c r="I20" s="7"/>
      <c r="J20" s="7"/>
      <c r="K20" s="7"/>
      <c r="L20" s="7"/>
      <c r="M20" s="7"/>
      <c r="N20" s="7"/>
      <c r="O20" s="4"/>
    </row>
    <row r="21" spans="1:15" ht="14.45" customHeight="1">
      <c r="A21" s="4"/>
      <c r="B21" s="4"/>
      <c r="C21" s="198"/>
      <c r="D21" s="108" t="s">
        <v>907</v>
      </c>
      <c r="E21" s="649" t="s">
        <v>908</v>
      </c>
      <c r="F21" s="649"/>
      <c r="G21" s="67"/>
      <c r="H21" s="7"/>
      <c r="I21" s="7"/>
      <c r="J21" s="7"/>
      <c r="K21" s="7"/>
      <c r="L21" s="7"/>
      <c r="M21" s="7"/>
      <c r="N21" s="7"/>
      <c r="O21" s="4"/>
    </row>
    <row r="22" spans="1:15" ht="14.45" customHeight="1">
      <c r="A22" s="4"/>
      <c r="B22" s="4"/>
      <c r="C22" s="198"/>
      <c r="D22" s="7"/>
      <c r="E22" s="106"/>
      <c r="F22" s="7"/>
      <c r="G22" s="7"/>
      <c r="H22" s="7"/>
      <c r="I22" s="7"/>
      <c r="J22" s="7"/>
      <c r="K22" s="7"/>
      <c r="L22" s="7"/>
      <c r="M22" s="7"/>
      <c r="N22" s="7"/>
      <c r="O22" s="4"/>
    </row>
    <row r="23" spans="1:15" ht="14.45" customHeight="1">
      <c r="A23" s="4"/>
      <c r="B23" s="4"/>
      <c r="C23" s="198"/>
      <c r="D23" s="7"/>
      <c r="E23" s="106"/>
      <c r="F23" s="7"/>
      <c r="G23" s="7"/>
      <c r="H23" s="7"/>
      <c r="I23" s="7"/>
      <c r="J23" s="7"/>
      <c r="K23" s="7"/>
      <c r="L23" s="7"/>
      <c r="M23" s="7"/>
      <c r="N23" s="7"/>
      <c r="O23" s="4"/>
    </row>
    <row r="24" spans="1:15" ht="14.45" customHeight="1">
      <c r="A24" s="4"/>
      <c r="B24" s="4"/>
      <c r="C24" s="198"/>
      <c r="D24" s="7"/>
      <c r="E24" s="106"/>
      <c r="F24" s="7"/>
      <c r="G24" s="7"/>
      <c r="H24" s="7"/>
      <c r="I24" s="7"/>
      <c r="J24" s="7"/>
      <c r="K24" s="7"/>
      <c r="L24" s="7"/>
      <c r="M24" s="7"/>
      <c r="N24" s="7"/>
      <c r="O24" s="4"/>
    </row>
    <row r="25" spans="1:15" ht="14.45" customHeight="1">
      <c r="A25" s="4"/>
      <c r="B25" s="4"/>
      <c r="C25" s="198"/>
      <c r="D25" s="7"/>
      <c r="E25" s="106"/>
      <c r="F25" s="7"/>
      <c r="G25" s="7"/>
      <c r="H25" s="7"/>
      <c r="I25" s="7"/>
      <c r="J25" s="7"/>
      <c r="K25" s="7"/>
      <c r="L25" s="7"/>
      <c r="M25" s="7"/>
      <c r="N25" s="7"/>
      <c r="O25" s="4"/>
    </row>
    <row r="26" spans="1:15" ht="14.45" customHeight="1">
      <c r="A26" s="4"/>
      <c r="B26" s="4"/>
      <c r="C26" s="198"/>
      <c r="D26" s="7"/>
      <c r="E26" s="106"/>
      <c r="F26" s="7"/>
      <c r="G26" s="7"/>
      <c r="H26" s="7"/>
      <c r="I26" s="7"/>
      <c r="J26" s="7"/>
      <c r="K26" s="7"/>
      <c r="L26" s="7"/>
      <c r="M26" s="7"/>
      <c r="N26" s="7"/>
      <c r="O26" s="4"/>
    </row>
    <row r="27" spans="1:15" ht="14.45" customHeight="1">
      <c r="A27" s="4"/>
      <c r="B27" s="4"/>
      <c r="C27" s="198"/>
      <c r="D27" s="7"/>
      <c r="E27" s="7"/>
      <c r="F27" s="7"/>
      <c r="G27" s="7"/>
      <c r="H27" s="7"/>
      <c r="I27" s="7"/>
      <c r="J27" s="7"/>
      <c r="K27" s="7"/>
      <c r="L27" s="7"/>
      <c r="M27" s="7"/>
      <c r="N27" s="7"/>
      <c r="O27" s="4"/>
    </row>
    <row r="28" spans="1:15" ht="14.45" customHeight="1">
      <c r="A28" s="4"/>
      <c r="B28" s="4"/>
      <c r="C28" s="198"/>
      <c r="D28" s="7"/>
      <c r="E28" s="7"/>
      <c r="F28" s="7"/>
      <c r="G28" s="7"/>
      <c r="H28" s="7"/>
      <c r="I28" s="7"/>
      <c r="J28" s="7"/>
      <c r="K28" s="7"/>
      <c r="L28" s="7"/>
      <c r="M28" s="7"/>
      <c r="N28" s="7"/>
      <c r="O28" s="4"/>
    </row>
    <row r="29" spans="1:15" ht="14.45" customHeight="1">
      <c r="A29" s="4"/>
      <c r="B29" s="4"/>
      <c r="C29" s="198"/>
      <c r="D29" s="7"/>
      <c r="E29" s="7"/>
      <c r="F29" s="7"/>
      <c r="G29" s="7"/>
      <c r="H29" s="7"/>
      <c r="I29" s="7"/>
      <c r="J29" s="7"/>
      <c r="K29" s="7"/>
      <c r="L29" s="7"/>
      <c r="M29" s="7"/>
      <c r="N29" s="7"/>
      <c r="O29" s="4"/>
    </row>
    <row r="30" spans="1:15">
      <c r="A30" s="4"/>
      <c r="B30" s="4"/>
      <c r="C30" s="8"/>
      <c r="D30" s="8"/>
      <c r="E30" s="8"/>
      <c r="F30" s="8"/>
      <c r="G30" s="8"/>
      <c r="H30" s="12"/>
      <c r="I30" s="8"/>
      <c r="J30" s="8"/>
      <c r="K30" s="8"/>
      <c r="L30" s="8"/>
      <c r="M30" s="4"/>
      <c r="N30" s="4"/>
      <c r="O30" s="4"/>
    </row>
    <row r="31" spans="1:15">
      <c r="A31" s="4"/>
      <c r="B31" s="4"/>
      <c r="C31" s="7" t="s">
        <v>594</v>
      </c>
      <c r="D31" s="7"/>
      <c r="E31" s="7"/>
      <c r="F31" s="7"/>
      <c r="G31" s="54"/>
      <c r="H31" s="160"/>
      <c r="I31" s="54"/>
      <c r="J31" s="54"/>
      <c r="K31" s="54"/>
      <c r="L31" s="54"/>
      <c r="M31" s="7"/>
      <c r="N31" s="7"/>
      <c r="O31" s="4"/>
    </row>
    <row r="32" spans="1:15" ht="13.7" customHeight="1">
      <c r="A32" s="4"/>
      <c r="B32" s="4"/>
      <c r="C32" s="7" t="s">
        <v>595</v>
      </c>
      <c r="D32" s="7"/>
      <c r="E32" s="7"/>
      <c r="F32" s="7"/>
      <c r="G32" s="54"/>
      <c r="H32" s="160"/>
      <c r="I32" s="54"/>
      <c r="J32" s="54"/>
      <c r="K32" s="54"/>
      <c r="L32" s="54"/>
      <c r="M32" s="7"/>
      <c r="N32" s="7"/>
      <c r="O32" s="4"/>
    </row>
    <row r="33" spans="1:15" ht="13.7" customHeight="1">
      <c r="A33" s="4"/>
      <c r="B33" s="4"/>
      <c r="C33" s="7" t="s">
        <v>596</v>
      </c>
      <c r="D33" s="7"/>
      <c r="E33" s="7"/>
      <c r="F33" s="7"/>
      <c r="G33" s="54"/>
      <c r="H33" s="160"/>
      <c r="I33" s="54"/>
      <c r="J33" s="54"/>
      <c r="K33" s="54"/>
      <c r="L33" s="54"/>
      <c r="M33" s="7"/>
      <c r="N33" s="7"/>
      <c r="O33" s="4"/>
    </row>
    <row r="34" spans="1:15" ht="13.7" customHeight="1">
      <c r="A34" s="4"/>
      <c r="B34" s="4"/>
      <c r="C34" s="7"/>
      <c r="D34" s="7"/>
      <c r="E34" s="7"/>
      <c r="F34" s="7"/>
      <c r="G34" s="54"/>
      <c r="H34" s="160"/>
      <c r="I34" s="54"/>
      <c r="J34" s="54"/>
      <c r="K34" s="54"/>
      <c r="L34" s="54"/>
      <c r="M34" s="7"/>
      <c r="N34" s="7"/>
      <c r="O34" s="4"/>
    </row>
    <row r="35" spans="1:15">
      <c r="A35" s="4"/>
      <c r="B35" s="4"/>
      <c r="C35" s="7" t="s">
        <v>597</v>
      </c>
      <c r="D35" s="54"/>
      <c r="E35" s="54"/>
      <c r="F35" s="54"/>
      <c r="G35" s="54"/>
      <c r="H35" s="160"/>
      <c r="I35" s="54"/>
      <c r="J35" s="54"/>
      <c r="K35" s="54"/>
      <c r="L35" s="54"/>
      <c r="M35" s="7"/>
      <c r="N35" s="7"/>
      <c r="O35" s="4"/>
    </row>
    <row r="36" spans="1:15">
      <c r="A36" s="4"/>
      <c r="B36" s="4"/>
      <c r="C36" s="7" t="s">
        <v>598</v>
      </c>
      <c r="D36" s="54"/>
      <c r="E36" s="54"/>
      <c r="F36" s="54"/>
      <c r="G36" s="54"/>
      <c r="H36" s="160"/>
      <c r="I36" s="54"/>
      <c r="J36" s="54"/>
      <c r="K36" s="54"/>
      <c r="L36" s="54"/>
      <c r="M36" s="7"/>
      <c r="N36" s="7"/>
      <c r="O36" s="4"/>
    </row>
    <row r="37" spans="1:15">
      <c r="A37" s="4"/>
      <c r="B37" s="4"/>
      <c r="C37" s="7" t="s">
        <v>599</v>
      </c>
      <c r="D37" s="54"/>
      <c r="E37" s="54"/>
      <c r="F37" s="54"/>
      <c r="G37" s="54"/>
      <c r="H37" s="160"/>
      <c r="I37" s="54"/>
      <c r="J37" s="54"/>
      <c r="K37" s="54"/>
      <c r="L37" s="54"/>
      <c r="M37" s="7"/>
      <c r="N37" s="7"/>
      <c r="O37" s="4"/>
    </row>
    <row r="38" spans="1:15">
      <c r="A38" s="4"/>
      <c r="B38" s="4"/>
      <c r="C38" s="7"/>
      <c r="D38" s="54"/>
      <c r="E38" s="54"/>
      <c r="F38" s="54"/>
      <c r="G38" s="54"/>
      <c r="H38" s="160"/>
      <c r="I38" s="54"/>
      <c r="J38" s="54"/>
      <c r="K38" s="54"/>
      <c r="L38" s="54"/>
      <c r="M38" s="7"/>
      <c r="N38" s="7"/>
      <c r="O38" s="4"/>
    </row>
    <row r="39" spans="1:15">
      <c r="A39" s="4"/>
      <c r="B39" s="4"/>
      <c r="C39" s="4"/>
      <c r="D39" s="8"/>
      <c r="E39" s="8"/>
      <c r="F39" s="8"/>
      <c r="G39" s="8"/>
      <c r="H39" s="12"/>
      <c r="I39" s="8"/>
      <c r="J39" s="8"/>
      <c r="K39" s="8"/>
      <c r="L39" s="8"/>
      <c r="M39" s="4"/>
      <c r="N39" s="4"/>
      <c r="O39" s="4"/>
    </row>
    <row r="40" spans="1:15" ht="18.600000000000001">
      <c r="A40" s="101"/>
      <c r="B40" s="101"/>
      <c r="C40" s="102" t="s">
        <v>247</v>
      </c>
      <c r="D40" s="103"/>
      <c r="E40" s="103"/>
      <c r="F40" s="103"/>
      <c r="G40" s="103"/>
      <c r="H40" s="173"/>
      <c r="I40" s="103"/>
      <c r="J40" s="103"/>
      <c r="K40" s="103"/>
      <c r="L40" s="103"/>
      <c r="M40" s="101"/>
      <c r="N40" s="101"/>
      <c r="O40" s="101"/>
    </row>
    <row r="41" spans="1:15" ht="18.600000000000001">
      <c r="A41" s="101"/>
      <c r="B41" s="101"/>
      <c r="C41" s="102"/>
      <c r="D41" s="103"/>
      <c r="E41" s="103"/>
      <c r="F41" s="103"/>
      <c r="G41" s="103"/>
      <c r="H41" s="173"/>
      <c r="I41" s="103"/>
      <c r="J41" s="103"/>
      <c r="K41" s="103"/>
      <c r="L41" s="103"/>
      <c r="M41" s="101"/>
      <c r="N41" s="101"/>
      <c r="O41" s="101"/>
    </row>
    <row r="42" spans="1:15">
      <c r="A42" s="4"/>
      <c r="B42" s="4"/>
      <c r="C42" s="54"/>
      <c r="D42" s="54"/>
      <c r="E42" s="54"/>
      <c r="F42" s="54"/>
      <c r="G42" s="54"/>
      <c r="H42" s="160"/>
      <c r="I42" s="54"/>
      <c r="J42" s="54"/>
      <c r="K42" s="54"/>
      <c r="L42" s="54"/>
      <c r="M42" s="7"/>
      <c r="N42" s="7"/>
      <c r="O42" s="4"/>
    </row>
    <row r="43" spans="1:15">
      <c r="A43" s="4"/>
      <c r="B43" s="4"/>
      <c r="C43" s="54"/>
      <c r="D43" s="54"/>
      <c r="E43" s="54"/>
      <c r="F43" s="54"/>
      <c r="G43" s="54"/>
      <c r="H43" s="160"/>
      <c r="I43" s="54"/>
      <c r="J43" s="54"/>
      <c r="K43" s="54"/>
      <c r="L43" s="54"/>
      <c r="M43" s="7"/>
      <c r="N43" s="7"/>
      <c r="O43" s="4"/>
    </row>
    <row r="44" spans="1:15" ht="14.45" customHeight="1">
      <c r="A44" s="4"/>
      <c r="B44" s="4"/>
      <c r="C44" s="54"/>
      <c r="D44" s="54"/>
      <c r="E44" s="54"/>
      <c r="F44" s="54"/>
      <c r="G44" s="54"/>
      <c r="H44" s="160"/>
      <c r="I44" s="54"/>
      <c r="J44" s="655" t="s">
        <v>909</v>
      </c>
      <c r="K44" s="655"/>
      <c r="L44" s="655"/>
      <c r="M44" s="655"/>
      <c r="N44" s="7"/>
      <c r="O44" s="4"/>
    </row>
    <row r="45" spans="1:15" ht="16.5">
      <c r="A45" s="4"/>
      <c r="B45" s="4"/>
      <c r="C45" s="7"/>
      <c r="D45" s="18" t="s">
        <v>601</v>
      </c>
      <c r="E45" s="18" t="s">
        <v>602</v>
      </c>
      <c r="F45" s="18" t="s">
        <v>247</v>
      </c>
      <c r="G45" s="18" t="s">
        <v>603</v>
      </c>
      <c r="H45" s="18" t="s">
        <v>604</v>
      </c>
      <c r="I45" s="18" t="s">
        <v>605</v>
      </c>
      <c r="J45" s="18" t="s">
        <v>299</v>
      </c>
      <c r="K45" s="18" t="s">
        <v>606</v>
      </c>
      <c r="L45" s="18" t="s">
        <v>414</v>
      </c>
      <c r="M45" s="18" t="s">
        <v>607</v>
      </c>
      <c r="N45" s="7"/>
      <c r="O45" s="4"/>
    </row>
    <row r="46" spans="1:15" ht="57.95">
      <c r="A46" s="4"/>
      <c r="B46" s="4"/>
      <c r="C46" s="7"/>
      <c r="D46" s="18" t="s">
        <v>608</v>
      </c>
      <c r="E46" s="18" t="s">
        <v>349</v>
      </c>
      <c r="F46" s="18" t="s">
        <v>609</v>
      </c>
      <c r="G46" s="18" t="s">
        <v>610</v>
      </c>
      <c r="H46" s="18" t="s">
        <v>611</v>
      </c>
      <c r="I46" s="18" t="s">
        <v>612</v>
      </c>
      <c r="J46" s="18"/>
      <c r="K46" s="18"/>
      <c r="L46" s="18" t="s">
        <v>317</v>
      </c>
      <c r="M46" s="18" t="s">
        <v>910</v>
      </c>
      <c r="N46" s="7"/>
      <c r="O46" s="4"/>
    </row>
    <row r="47" spans="1:15" ht="43.5">
      <c r="A47" s="4"/>
      <c r="B47" s="4"/>
      <c r="C47" s="7"/>
      <c r="D47" s="18" t="s">
        <v>613</v>
      </c>
      <c r="E47" s="18" t="s">
        <v>349</v>
      </c>
      <c r="F47" s="18" t="s">
        <v>614</v>
      </c>
      <c r="G47" s="18" t="s">
        <v>610</v>
      </c>
      <c r="H47" s="18" t="s">
        <v>611</v>
      </c>
      <c r="I47" s="18" t="s">
        <v>612</v>
      </c>
      <c r="J47" s="18"/>
      <c r="K47" s="18"/>
      <c r="L47" s="18" t="s">
        <v>317</v>
      </c>
      <c r="M47" s="18" t="s">
        <v>415</v>
      </c>
      <c r="N47" s="7"/>
      <c r="O47" s="4"/>
    </row>
    <row r="48" spans="1:15" ht="43.5">
      <c r="A48" s="4"/>
      <c r="B48" s="4"/>
      <c r="C48" s="7"/>
      <c r="D48" s="18" t="s">
        <v>615</v>
      </c>
      <c r="E48" s="18" t="s">
        <v>349</v>
      </c>
      <c r="F48" s="18" t="s">
        <v>616</v>
      </c>
      <c r="G48" s="18" t="s">
        <v>412</v>
      </c>
      <c r="H48" s="18" t="s">
        <v>611</v>
      </c>
      <c r="I48" s="18" t="s">
        <v>617</v>
      </c>
      <c r="J48" s="18"/>
      <c r="K48" s="18"/>
      <c r="L48" s="18" t="s">
        <v>317</v>
      </c>
      <c r="M48" s="18" t="s">
        <v>911</v>
      </c>
      <c r="N48" s="7"/>
      <c r="O48" s="4"/>
    </row>
    <row r="49" spans="1:15" ht="43.5">
      <c r="A49" s="4"/>
      <c r="B49" s="4"/>
      <c r="C49" s="7"/>
      <c r="D49" s="18" t="s">
        <v>618</v>
      </c>
      <c r="E49" s="18" t="s">
        <v>349</v>
      </c>
      <c r="F49" s="18" t="s">
        <v>619</v>
      </c>
      <c r="G49" s="18"/>
      <c r="H49" s="18" t="s">
        <v>611</v>
      </c>
      <c r="I49" s="18" t="s">
        <v>612</v>
      </c>
      <c r="J49" s="18"/>
      <c r="K49" s="18"/>
      <c r="L49" s="18" t="s">
        <v>317</v>
      </c>
      <c r="M49" s="18" t="s">
        <v>912</v>
      </c>
      <c r="N49" s="7"/>
      <c r="O49" s="4"/>
    </row>
    <row r="50" spans="1:15" ht="43.5">
      <c r="A50" s="4"/>
      <c r="B50" s="4"/>
      <c r="C50" s="7"/>
      <c r="D50" s="18" t="s">
        <v>620</v>
      </c>
      <c r="E50" s="18" t="s">
        <v>349</v>
      </c>
      <c r="F50" s="18" t="s">
        <v>621</v>
      </c>
      <c r="G50" s="18" t="s">
        <v>412</v>
      </c>
      <c r="H50" s="18" t="s">
        <v>611</v>
      </c>
      <c r="I50" s="18" t="s">
        <v>612</v>
      </c>
      <c r="J50" s="18"/>
      <c r="K50" s="18"/>
      <c r="L50" s="18" t="s">
        <v>317</v>
      </c>
      <c r="M50" s="18" t="s">
        <v>913</v>
      </c>
      <c r="N50" s="7"/>
      <c r="O50" s="4"/>
    </row>
    <row r="51" spans="1:15" ht="43.5">
      <c r="A51" s="4"/>
      <c r="B51" s="4"/>
      <c r="C51" s="7"/>
      <c r="D51" s="18" t="s">
        <v>622</v>
      </c>
      <c r="E51" s="18" t="s">
        <v>349</v>
      </c>
      <c r="F51" s="18" t="s">
        <v>623</v>
      </c>
      <c r="G51" s="18" t="s">
        <v>610</v>
      </c>
      <c r="H51" s="18" t="s">
        <v>611</v>
      </c>
      <c r="I51" s="18" t="s">
        <v>612</v>
      </c>
      <c r="J51" s="18"/>
      <c r="K51" s="18"/>
      <c r="L51" s="288" t="s">
        <v>317</v>
      </c>
      <c r="M51" s="288" t="s">
        <v>914</v>
      </c>
      <c r="N51" s="7"/>
      <c r="O51" s="4"/>
    </row>
    <row r="52" spans="1:15" ht="43.5">
      <c r="A52" s="4"/>
      <c r="B52" s="4"/>
      <c r="C52" s="7"/>
      <c r="D52" s="18" t="s">
        <v>624</v>
      </c>
      <c r="E52" s="18" t="s">
        <v>349</v>
      </c>
      <c r="F52" s="18" t="s">
        <v>625</v>
      </c>
      <c r="G52" s="18" t="s">
        <v>610</v>
      </c>
      <c r="H52" s="18" t="s">
        <v>611</v>
      </c>
      <c r="I52" s="18" t="s">
        <v>612</v>
      </c>
      <c r="J52" s="18"/>
      <c r="K52" s="18"/>
      <c r="L52" s="288" t="s">
        <v>317</v>
      </c>
      <c r="M52" s="18" t="s">
        <v>915</v>
      </c>
      <c r="N52" s="7"/>
      <c r="O52" s="4"/>
    </row>
    <row r="53" spans="1:15" ht="43.5">
      <c r="A53" s="4"/>
      <c r="B53" s="4"/>
      <c r="C53" s="7"/>
      <c r="D53" s="18" t="s">
        <v>626</v>
      </c>
      <c r="E53" s="18" t="s">
        <v>349</v>
      </c>
      <c r="F53" s="18" t="s">
        <v>627</v>
      </c>
      <c r="G53" s="18" t="s">
        <v>610</v>
      </c>
      <c r="H53" s="18" t="s">
        <v>611</v>
      </c>
      <c r="I53" s="18" t="s">
        <v>612</v>
      </c>
      <c r="J53" s="18"/>
      <c r="K53" s="18"/>
      <c r="L53" s="288" t="s">
        <v>317</v>
      </c>
      <c r="M53" s="18" t="s">
        <v>916</v>
      </c>
      <c r="N53" s="7"/>
      <c r="O53" s="4"/>
    </row>
    <row r="54" spans="1:15" ht="43.5">
      <c r="A54" s="4"/>
      <c r="B54" s="4"/>
      <c r="C54" s="7"/>
      <c r="D54" s="18" t="s">
        <v>628</v>
      </c>
      <c r="E54" s="18" t="s">
        <v>349</v>
      </c>
      <c r="F54" s="18" t="s">
        <v>629</v>
      </c>
      <c r="G54" s="18" t="s">
        <v>610</v>
      </c>
      <c r="H54" s="18" t="s">
        <v>611</v>
      </c>
      <c r="I54" s="18" t="s">
        <v>612</v>
      </c>
      <c r="J54" s="18"/>
      <c r="K54" s="18"/>
      <c r="L54" s="288" t="s">
        <v>317</v>
      </c>
      <c r="M54" s="18" t="s">
        <v>917</v>
      </c>
      <c r="N54" s="7"/>
      <c r="O54" s="4"/>
    </row>
    <row r="55" spans="1:15" ht="43.5">
      <c r="A55" s="4"/>
      <c r="B55" s="4"/>
      <c r="C55" s="7"/>
      <c r="D55" s="18" t="s">
        <v>630</v>
      </c>
      <c r="E55" s="18" t="s">
        <v>349</v>
      </c>
      <c r="F55" s="18" t="s">
        <v>631</v>
      </c>
      <c r="G55" s="18" t="s">
        <v>412</v>
      </c>
      <c r="H55" s="18" t="s">
        <v>611</v>
      </c>
      <c r="I55" s="18" t="s">
        <v>612</v>
      </c>
      <c r="J55" s="18"/>
      <c r="K55" s="18"/>
      <c r="L55" s="288" t="s">
        <v>317</v>
      </c>
      <c r="M55" s="18" t="s">
        <v>918</v>
      </c>
      <c r="N55" s="7"/>
      <c r="O55" s="4"/>
    </row>
    <row r="56" spans="1:15" ht="43.5">
      <c r="A56" s="4"/>
      <c r="B56" s="4"/>
      <c r="C56" s="7"/>
      <c r="D56" s="18" t="s">
        <v>632</v>
      </c>
      <c r="E56" s="18" t="s">
        <v>349</v>
      </c>
      <c r="F56" s="18" t="s">
        <v>633</v>
      </c>
      <c r="G56" s="18" t="s">
        <v>412</v>
      </c>
      <c r="H56" s="18" t="s">
        <v>611</v>
      </c>
      <c r="I56" s="18" t="s">
        <v>612</v>
      </c>
      <c r="J56" s="18"/>
      <c r="K56" s="18"/>
      <c r="L56" s="288" t="s">
        <v>317</v>
      </c>
      <c r="M56" s="18" t="s">
        <v>919</v>
      </c>
      <c r="N56" s="7"/>
      <c r="O56" s="4"/>
    </row>
    <row r="57" spans="1:15" ht="43.5">
      <c r="A57" s="4"/>
      <c r="B57" s="4"/>
      <c r="C57" s="7"/>
      <c r="D57" s="18" t="s">
        <v>634</v>
      </c>
      <c r="E57" s="18" t="s">
        <v>349</v>
      </c>
      <c r="F57" s="18" t="s">
        <v>635</v>
      </c>
      <c r="G57" s="18" t="s">
        <v>412</v>
      </c>
      <c r="H57" s="18" t="s">
        <v>611</v>
      </c>
      <c r="I57" s="18" t="s">
        <v>612</v>
      </c>
      <c r="J57" s="18"/>
      <c r="K57" s="18"/>
      <c r="L57" s="288" t="s">
        <v>317</v>
      </c>
      <c r="M57" s="18" t="s">
        <v>920</v>
      </c>
      <c r="N57" s="7"/>
      <c r="O57" s="4"/>
    </row>
    <row r="58" spans="1:15" ht="43.5">
      <c r="A58" s="4"/>
      <c r="B58" s="4"/>
      <c r="C58" s="7"/>
      <c r="D58" s="18" t="s">
        <v>636</v>
      </c>
      <c r="E58" s="18" t="s">
        <v>349</v>
      </c>
      <c r="F58" s="18" t="s">
        <v>637</v>
      </c>
      <c r="G58" s="18" t="s">
        <v>412</v>
      </c>
      <c r="H58" s="18" t="s">
        <v>611</v>
      </c>
      <c r="I58" s="18" t="s">
        <v>617</v>
      </c>
      <c r="J58" s="18"/>
      <c r="K58" s="18"/>
      <c r="L58" s="18" t="s">
        <v>921</v>
      </c>
      <c r="M58" s="18" t="s">
        <v>922</v>
      </c>
      <c r="N58" s="7"/>
      <c r="O58" s="4"/>
    </row>
    <row r="59" spans="1:15" ht="43.5">
      <c r="A59" s="4"/>
      <c r="B59" s="4"/>
      <c r="C59" s="7"/>
      <c r="D59" s="18" t="s">
        <v>638</v>
      </c>
      <c r="E59" s="18" t="s">
        <v>349</v>
      </c>
      <c r="F59" s="18" t="s">
        <v>639</v>
      </c>
      <c r="G59" s="18" t="s">
        <v>412</v>
      </c>
      <c r="H59" s="18" t="s">
        <v>611</v>
      </c>
      <c r="I59" s="18" t="s">
        <v>612</v>
      </c>
      <c r="J59" s="18"/>
      <c r="K59" s="18"/>
      <c r="L59" s="18" t="s">
        <v>318</v>
      </c>
      <c r="M59" s="18" t="s">
        <v>922</v>
      </c>
      <c r="N59" s="7"/>
      <c r="O59" s="4"/>
    </row>
    <row r="60" spans="1:15" ht="43.5">
      <c r="A60" s="4"/>
      <c r="B60" s="4"/>
      <c r="C60" s="7"/>
      <c r="D60" s="18" t="s">
        <v>640</v>
      </c>
      <c r="E60" s="18" t="s">
        <v>349</v>
      </c>
      <c r="F60" s="18" t="s">
        <v>641</v>
      </c>
      <c r="G60" s="18" t="s">
        <v>412</v>
      </c>
      <c r="H60" s="18" t="s">
        <v>611</v>
      </c>
      <c r="I60" s="18" t="s">
        <v>612</v>
      </c>
      <c r="J60" s="18"/>
      <c r="K60" s="18"/>
      <c r="L60" s="18" t="s">
        <v>317</v>
      </c>
      <c r="M60" s="18"/>
      <c r="N60" s="7"/>
      <c r="O60" s="4"/>
    </row>
    <row r="61" spans="1:15" ht="43.5">
      <c r="A61" s="4"/>
      <c r="B61" s="4"/>
      <c r="C61" s="7"/>
      <c r="D61" s="18" t="s">
        <v>642</v>
      </c>
      <c r="E61" s="18" t="s">
        <v>643</v>
      </c>
      <c r="F61" s="18" t="s">
        <v>644</v>
      </c>
      <c r="G61" s="18" t="s">
        <v>645</v>
      </c>
      <c r="H61" s="18" t="s">
        <v>611</v>
      </c>
      <c r="I61" s="18" t="s">
        <v>612</v>
      </c>
      <c r="J61" s="18"/>
      <c r="K61" s="18"/>
      <c r="L61" s="18" t="s">
        <v>317</v>
      </c>
      <c r="M61" s="18" t="s">
        <v>923</v>
      </c>
      <c r="N61" s="7"/>
      <c r="O61" s="4"/>
    </row>
    <row r="62" spans="1:15" ht="43.5">
      <c r="A62" s="4"/>
      <c r="B62" s="4"/>
      <c r="C62" s="7"/>
      <c r="D62" s="18" t="s">
        <v>646</v>
      </c>
      <c r="E62" s="18" t="s">
        <v>643</v>
      </c>
      <c r="F62" s="18" t="s">
        <v>647</v>
      </c>
      <c r="G62" s="18" t="s">
        <v>610</v>
      </c>
      <c r="H62" s="18" t="s">
        <v>611</v>
      </c>
      <c r="I62" s="18" t="s">
        <v>612</v>
      </c>
      <c r="J62" s="18"/>
      <c r="K62" s="18"/>
      <c r="L62" s="18" t="s">
        <v>317</v>
      </c>
      <c r="M62" s="18"/>
      <c r="N62" s="7"/>
      <c r="O62" s="4"/>
    </row>
    <row r="63" spans="1:15" ht="43.5">
      <c r="A63" s="4"/>
      <c r="B63" s="4"/>
      <c r="C63" s="7"/>
      <c r="D63" s="18" t="s">
        <v>648</v>
      </c>
      <c r="E63" s="18" t="s">
        <v>119</v>
      </c>
      <c r="F63" s="18" t="s">
        <v>649</v>
      </c>
      <c r="G63" s="18" t="s">
        <v>412</v>
      </c>
      <c r="H63" s="18" t="s">
        <v>611</v>
      </c>
      <c r="I63" s="18" t="s">
        <v>617</v>
      </c>
      <c r="J63" s="18"/>
      <c r="K63" s="18"/>
      <c r="L63" s="18" t="s">
        <v>317</v>
      </c>
      <c r="M63" s="18"/>
      <c r="N63" s="7"/>
      <c r="O63" s="4"/>
    </row>
    <row r="64" spans="1:15" ht="43.5">
      <c r="A64" s="4"/>
      <c r="B64" s="4"/>
      <c r="C64" s="7"/>
      <c r="D64" s="18" t="s">
        <v>650</v>
      </c>
      <c r="E64" s="18" t="s">
        <v>119</v>
      </c>
      <c r="F64" s="18" t="s">
        <v>651</v>
      </c>
      <c r="G64" s="18" t="s">
        <v>412</v>
      </c>
      <c r="H64" s="18" t="s">
        <v>611</v>
      </c>
      <c r="I64" s="18" t="s">
        <v>617</v>
      </c>
      <c r="J64" s="18"/>
      <c r="K64" s="18"/>
      <c r="L64" s="18" t="s">
        <v>317</v>
      </c>
      <c r="M64" s="18"/>
      <c r="N64" s="7"/>
      <c r="O64" s="4"/>
    </row>
    <row r="65" spans="1:15" ht="43.5">
      <c r="A65" s="4"/>
      <c r="B65" s="4"/>
      <c r="C65" s="7"/>
      <c r="D65" s="18" t="s">
        <v>652</v>
      </c>
      <c r="E65" s="18" t="s">
        <v>119</v>
      </c>
      <c r="F65" s="18" t="s">
        <v>653</v>
      </c>
      <c r="G65" s="18" t="s">
        <v>412</v>
      </c>
      <c r="H65" s="18" t="s">
        <v>611</v>
      </c>
      <c r="I65" s="18" t="s">
        <v>617</v>
      </c>
      <c r="J65" s="18"/>
      <c r="K65" s="18"/>
      <c r="L65" s="18" t="s">
        <v>317</v>
      </c>
      <c r="M65" s="18"/>
      <c r="N65" s="7"/>
      <c r="O65" s="4"/>
    </row>
    <row r="66" spans="1:15" ht="43.5">
      <c r="A66" s="4"/>
      <c r="B66" s="4"/>
      <c r="C66" s="7"/>
      <c r="D66" s="18" t="s">
        <v>654</v>
      </c>
      <c r="E66" s="18" t="s">
        <v>119</v>
      </c>
      <c r="F66" s="18" t="s">
        <v>655</v>
      </c>
      <c r="G66" s="18" t="s">
        <v>412</v>
      </c>
      <c r="H66" s="18" t="s">
        <v>611</v>
      </c>
      <c r="I66" s="18" t="s">
        <v>617</v>
      </c>
      <c r="J66" s="18"/>
      <c r="K66" s="18"/>
      <c r="L66" s="18" t="s">
        <v>317</v>
      </c>
      <c r="M66" s="18" t="s">
        <v>924</v>
      </c>
      <c r="N66" s="7"/>
      <c r="O66" s="4"/>
    </row>
    <row r="67" spans="1:15" ht="43.5">
      <c r="A67" s="4"/>
      <c r="B67" s="4"/>
      <c r="C67" s="7"/>
      <c r="D67" s="18" t="s">
        <v>656</v>
      </c>
      <c r="E67" s="18" t="s">
        <v>119</v>
      </c>
      <c r="F67" s="18" t="s">
        <v>657</v>
      </c>
      <c r="G67" s="18" t="s">
        <v>412</v>
      </c>
      <c r="H67" s="18" t="s">
        <v>611</v>
      </c>
      <c r="I67" s="18" t="s">
        <v>617</v>
      </c>
      <c r="J67" s="18"/>
      <c r="K67" s="18"/>
      <c r="L67" s="18" t="s">
        <v>317</v>
      </c>
      <c r="M67" s="18"/>
      <c r="N67" s="7"/>
      <c r="O67" s="4"/>
    </row>
    <row r="68" spans="1:15" ht="43.5">
      <c r="A68" s="4"/>
      <c r="B68" s="4"/>
      <c r="C68" s="7"/>
      <c r="D68" s="18" t="s">
        <v>658</v>
      </c>
      <c r="E68" s="18" t="s">
        <v>119</v>
      </c>
      <c r="F68" s="18" t="s">
        <v>659</v>
      </c>
      <c r="G68" s="18" t="s">
        <v>412</v>
      </c>
      <c r="H68" s="18" t="s">
        <v>611</v>
      </c>
      <c r="I68" s="18" t="s">
        <v>612</v>
      </c>
      <c r="J68" s="18"/>
      <c r="K68" s="18"/>
      <c r="L68" s="18" t="s">
        <v>317</v>
      </c>
      <c r="M68" s="18" t="s">
        <v>922</v>
      </c>
      <c r="N68" s="7"/>
      <c r="O68" s="4"/>
    </row>
    <row r="69" spans="1:15" ht="43.5">
      <c r="A69" s="4"/>
      <c r="B69" s="4"/>
      <c r="C69" s="7"/>
      <c r="D69" s="18" t="s">
        <v>660</v>
      </c>
      <c r="E69" s="18" t="s">
        <v>119</v>
      </c>
      <c r="F69" s="18" t="s">
        <v>661</v>
      </c>
      <c r="G69" s="18" t="s">
        <v>412</v>
      </c>
      <c r="H69" s="18" t="s">
        <v>611</v>
      </c>
      <c r="I69" s="18" t="s">
        <v>612</v>
      </c>
      <c r="J69" s="18"/>
      <c r="K69" s="18"/>
      <c r="L69" s="18" t="s">
        <v>317</v>
      </c>
      <c r="M69" s="18"/>
      <c r="N69" s="7"/>
      <c r="O69" s="4"/>
    </row>
    <row r="70" spans="1:15" ht="43.5">
      <c r="A70" s="4"/>
      <c r="B70" s="4"/>
      <c r="C70" s="7"/>
      <c r="D70" s="18" t="s">
        <v>662</v>
      </c>
      <c r="E70" s="18" t="s">
        <v>119</v>
      </c>
      <c r="F70" s="18" t="s">
        <v>663</v>
      </c>
      <c r="G70" s="18" t="s">
        <v>610</v>
      </c>
      <c r="H70" s="18" t="s">
        <v>611</v>
      </c>
      <c r="I70" s="18" t="s">
        <v>612</v>
      </c>
      <c r="J70" s="18"/>
      <c r="K70" s="18"/>
      <c r="L70" s="18" t="s">
        <v>921</v>
      </c>
      <c r="M70" s="18"/>
      <c r="N70" s="7"/>
      <c r="O70" s="4"/>
    </row>
    <row r="71" spans="1:15" ht="43.5">
      <c r="A71" s="4"/>
      <c r="B71" s="4"/>
      <c r="C71" s="7"/>
      <c r="D71" s="18" t="s">
        <v>664</v>
      </c>
      <c r="E71" s="18" t="s">
        <v>119</v>
      </c>
      <c r="F71" s="18" t="s">
        <v>665</v>
      </c>
      <c r="G71" s="18" t="s">
        <v>412</v>
      </c>
      <c r="H71" s="18" t="s">
        <v>611</v>
      </c>
      <c r="I71" s="18" t="s">
        <v>612</v>
      </c>
      <c r="J71" s="18"/>
      <c r="K71" s="18"/>
      <c r="L71" s="18" t="s">
        <v>317</v>
      </c>
      <c r="M71" s="18"/>
      <c r="N71" s="7"/>
      <c r="O71" s="4"/>
    </row>
    <row r="72" spans="1:15" ht="43.5">
      <c r="A72" s="4"/>
      <c r="B72" s="4"/>
      <c r="C72" s="7"/>
      <c r="D72" s="18" t="s">
        <v>666</v>
      </c>
      <c r="E72" s="18" t="s">
        <v>119</v>
      </c>
      <c r="F72" s="18" t="s">
        <v>667</v>
      </c>
      <c r="G72" s="18" t="s">
        <v>412</v>
      </c>
      <c r="H72" s="18" t="s">
        <v>611</v>
      </c>
      <c r="I72" s="18" t="s">
        <v>612</v>
      </c>
      <c r="J72" s="18"/>
      <c r="K72" s="18"/>
      <c r="L72" s="18" t="s">
        <v>317</v>
      </c>
      <c r="M72" s="18" t="s">
        <v>922</v>
      </c>
      <c r="N72" s="7"/>
      <c r="O72" s="4"/>
    </row>
    <row r="73" spans="1:15" ht="43.5">
      <c r="A73" s="4"/>
      <c r="B73" s="4"/>
      <c r="C73" s="7"/>
      <c r="D73" s="18" t="s">
        <v>668</v>
      </c>
      <c r="E73" s="18" t="s">
        <v>119</v>
      </c>
      <c r="F73" s="18" t="s">
        <v>669</v>
      </c>
      <c r="G73" s="18" t="s">
        <v>645</v>
      </c>
      <c r="H73" s="18" t="s">
        <v>611</v>
      </c>
      <c r="I73" s="18" t="s">
        <v>612</v>
      </c>
      <c r="J73" s="18"/>
      <c r="K73" s="18"/>
      <c r="L73" s="18" t="s">
        <v>317</v>
      </c>
      <c r="M73" s="18" t="s">
        <v>925</v>
      </c>
      <c r="N73" s="7"/>
      <c r="O73" s="4"/>
    </row>
    <row r="74" spans="1:15" ht="43.5">
      <c r="A74" s="4"/>
      <c r="B74" s="4"/>
      <c r="C74" s="7"/>
      <c r="D74" s="18" t="s">
        <v>670</v>
      </c>
      <c r="E74" s="18" t="s">
        <v>119</v>
      </c>
      <c r="F74" s="18" t="s">
        <v>671</v>
      </c>
      <c r="G74" s="18" t="s">
        <v>645</v>
      </c>
      <c r="H74" s="18" t="s">
        <v>611</v>
      </c>
      <c r="I74" s="18" t="s">
        <v>612</v>
      </c>
      <c r="J74" s="18"/>
      <c r="K74" s="18"/>
      <c r="L74" s="18" t="s">
        <v>921</v>
      </c>
      <c r="M74" s="18" t="s">
        <v>922</v>
      </c>
      <c r="N74" s="7"/>
      <c r="O74" s="4"/>
    </row>
    <row r="75" spans="1:15" ht="43.5">
      <c r="A75" s="4"/>
      <c r="B75" s="4"/>
      <c r="C75" s="7"/>
      <c r="D75" s="18" t="s">
        <v>672</v>
      </c>
      <c r="E75" s="18" t="s">
        <v>119</v>
      </c>
      <c r="F75" s="18" t="s">
        <v>673</v>
      </c>
      <c r="G75" s="18" t="s">
        <v>412</v>
      </c>
      <c r="H75" s="18" t="s">
        <v>611</v>
      </c>
      <c r="I75" s="18" t="s">
        <v>612</v>
      </c>
      <c r="J75" s="18"/>
      <c r="K75" s="18"/>
      <c r="L75" s="18" t="s">
        <v>318</v>
      </c>
      <c r="M75" s="18" t="s">
        <v>926</v>
      </c>
      <c r="N75" s="7"/>
      <c r="O75" s="4"/>
    </row>
    <row r="76" spans="1:15" ht="43.5">
      <c r="A76" s="4"/>
      <c r="B76" s="4"/>
      <c r="C76" s="7"/>
      <c r="D76" s="18" t="s">
        <v>674</v>
      </c>
      <c r="E76" s="18" t="s">
        <v>119</v>
      </c>
      <c r="F76" s="18" t="s">
        <v>675</v>
      </c>
      <c r="G76" s="18" t="s">
        <v>412</v>
      </c>
      <c r="H76" s="18" t="s">
        <v>611</v>
      </c>
      <c r="I76" s="18" t="s">
        <v>612</v>
      </c>
      <c r="J76" s="18"/>
      <c r="K76" s="18"/>
      <c r="L76" s="18" t="s">
        <v>317</v>
      </c>
      <c r="M76" s="18" t="s">
        <v>922</v>
      </c>
      <c r="N76" s="7"/>
      <c r="O76" s="4"/>
    </row>
    <row r="77" spans="1:15" ht="43.5">
      <c r="A77" s="4"/>
      <c r="B77" s="4"/>
      <c r="C77" s="7"/>
      <c r="D77" s="18" t="s">
        <v>676</v>
      </c>
      <c r="E77" s="18" t="s">
        <v>119</v>
      </c>
      <c r="F77" s="18" t="s">
        <v>677</v>
      </c>
      <c r="G77" s="18" t="s">
        <v>412</v>
      </c>
      <c r="H77" s="18" t="s">
        <v>611</v>
      </c>
      <c r="I77" s="18" t="s">
        <v>617</v>
      </c>
      <c r="J77" s="18"/>
      <c r="K77" s="18"/>
      <c r="L77" s="18" t="s">
        <v>317</v>
      </c>
      <c r="M77" s="18" t="s">
        <v>927</v>
      </c>
      <c r="N77" s="7"/>
      <c r="O77" s="4"/>
    </row>
    <row r="78" spans="1:15" ht="43.5">
      <c r="A78" s="4"/>
      <c r="B78" s="4"/>
      <c r="C78" s="7"/>
      <c r="D78" s="18" t="s">
        <v>678</v>
      </c>
      <c r="E78" s="18" t="s">
        <v>119</v>
      </c>
      <c r="F78" s="18" t="s">
        <v>679</v>
      </c>
      <c r="G78" s="18" t="s">
        <v>645</v>
      </c>
      <c r="H78" s="18" t="s">
        <v>611</v>
      </c>
      <c r="I78" s="18" t="s">
        <v>617</v>
      </c>
      <c r="J78" s="18"/>
      <c r="K78" s="18"/>
      <c r="L78" s="18" t="s">
        <v>318</v>
      </c>
      <c r="M78" s="18" t="s">
        <v>928</v>
      </c>
      <c r="N78" s="7"/>
      <c r="O78" s="4"/>
    </row>
    <row r="79" spans="1:15" ht="43.5">
      <c r="A79" s="4"/>
      <c r="B79" s="4"/>
      <c r="C79" s="7"/>
      <c r="D79" s="18" t="s">
        <v>680</v>
      </c>
      <c r="E79" s="18" t="s">
        <v>119</v>
      </c>
      <c r="F79" s="18" t="s">
        <v>681</v>
      </c>
      <c r="G79" s="18" t="s">
        <v>413</v>
      </c>
      <c r="H79" s="18" t="s">
        <v>611</v>
      </c>
      <c r="I79" s="18" t="s">
        <v>617</v>
      </c>
      <c r="J79" s="18"/>
      <c r="K79" s="18"/>
      <c r="L79" s="18" t="s">
        <v>318</v>
      </c>
      <c r="M79" s="18"/>
      <c r="N79" s="7"/>
      <c r="O79" s="4"/>
    </row>
    <row r="80" spans="1:15" ht="43.5">
      <c r="A80" s="4"/>
      <c r="B80" s="4"/>
      <c r="C80" s="7"/>
      <c r="D80" s="18" t="s">
        <v>682</v>
      </c>
      <c r="E80" s="18" t="s">
        <v>119</v>
      </c>
      <c r="F80" s="18" t="s">
        <v>683</v>
      </c>
      <c r="G80" s="18" t="s">
        <v>413</v>
      </c>
      <c r="H80" s="18" t="s">
        <v>611</v>
      </c>
      <c r="I80" s="18" t="s">
        <v>617</v>
      </c>
      <c r="J80" s="18"/>
      <c r="K80" s="18"/>
      <c r="L80" s="18" t="s">
        <v>318</v>
      </c>
      <c r="M80" s="18"/>
      <c r="N80" s="7"/>
      <c r="O80" s="4"/>
    </row>
    <row r="81" spans="1:15" ht="43.5">
      <c r="A81" s="4"/>
      <c r="B81" s="4"/>
      <c r="C81" s="7"/>
      <c r="D81" s="18" t="s">
        <v>684</v>
      </c>
      <c r="E81" s="18" t="s">
        <v>119</v>
      </c>
      <c r="F81" s="18" t="s">
        <v>685</v>
      </c>
      <c r="G81" s="18" t="s">
        <v>645</v>
      </c>
      <c r="H81" s="18" t="s">
        <v>611</v>
      </c>
      <c r="I81" s="18" t="s">
        <v>617</v>
      </c>
      <c r="J81" s="18"/>
      <c r="K81" s="18"/>
      <c r="L81" s="18" t="s">
        <v>317</v>
      </c>
      <c r="M81" s="18" t="s">
        <v>929</v>
      </c>
      <c r="N81" s="7"/>
      <c r="O81" s="4"/>
    </row>
    <row r="82" spans="1:15" ht="43.5">
      <c r="A82" s="4"/>
      <c r="B82" s="4"/>
      <c r="C82" s="7"/>
      <c r="D82" s="18" t="s">
        <v>686</v>
      </c>
      <c r="E82" s="18" t="s">
        <v>119</v>
      </c>
      <c r="F82" s="18" t="s">
        <v>687</v>
      </c>
      <c r="G82" s="18" t="s">
        <v>645</v>
      </c>
      <c r="H82" s="18" t="s">
        <v>611</v>
      </c>
      <c r="I82" s="18" t="s">
        <v>617</v>
      </c>
      <c r="J82" s="18"/>
      <c r="K82" s="18"/>
      <c r="L82" s="18" t="s">
        <v>318</v>
      </c>
      <c r="M82" s="18" t="s">
        <v>922</v>
      </c>
      <c r="N82" s="7"/>
      <c r="O82" s="4"/>
    </row>
    <row r="83" spans="1:15" ht="43.5">
      <c r="A83" s="4"/>
      <c r="B83" s="4"/>
      <c r="C83" s="7"/>
      <c r="D83" s="18" t="s">
        <v>688</v>
      </c>
      <c r="E83" s="18" t="s">
        <v>119</v>
      </c>
      <c r="F83" s="18" t="s">
        <v>689</v>
      </c>
      <c r="G83" s="18" t="s">
        <v>413</v>
      </c>
      <c r="H83" s="18" t="s">
        <v>611</v>
      </c>
      <c r="I83" s="18" t="s">
        <v>617</v>
      </c>
      <c r="J83" s="18"/>
      <c r="K83" s="18"/>
      <c r="L83" s="18" t="s">
        <v>921</v>
      </c>
      <c r="M83" s="18" t="s">
        <v>922</v>
      </c>
      <c r="N83" s="7"/>
      <c r="O83" s="4"/>
    </row>
    <row r="84" spans="1:15" ht="43.5">
      <c r="A84" s="4"/>
      <c r="B84" s="4"/>
      <c r="C84" s="7"/>
      <c r="D84" s="18" t="s">
        <v>690</v>
      </c>
      <c r="E84" s="18" t="s">
        <v>119</v>
      </c>
      <c r="F84" s="18" t="s">
        <v>691</v>
      </c>
      <c r="G84" s="18" t="s">
        <v>645</v>
      </c>
      <c r="H84" s="18" t="s">
        <v>611</v>
      </c>
      <c r="I84" s="18" t="s">
        <v>617</v>
      </c>
      <c r="J84" s="18"/>
      <c r="K84" s="18"/>
      <c r="L84" s="18" t="s">
        <v>318</v>
      </c>
      <c r="M84" s="18" t="s">
        <v>922</v>
      </c>
      <c r="N84" s="7"/>
      <c r="O84" s="4"/>
    </row>
    <row r="85" spans="1:15" ht="43.5">
      <c r="A85" s="4"/>
      <c r="B85" s="4"/>
      <c r="C85" s="7"/>
      <c r="D85" s="18" t="s">
        <v>692</v>
      </c>
      <c r="E85" s="18" t="s">
        <v>119</v>
      </c>
      <c r="F85" s="18" t="s">
        <v>693</v>
      </c>
      <c r="G85" s="18" t="s">
        <v>645</v>
      </c>
      <c r="H85" s="18" t="s">
        <v>611</v>
      </c>
      <c r="I85" s="18" t="s">
        <v>617</v>
      </c>
      <c r="J85" s="18"/>
      <c r="K85" s="18"/>
      <c r="L85" s="18" t="s">
        <v>317</v>
      </c>
      <c r="M85" s="18" t="s">
        <v>930</v>
      </c>
      <c r="N85" s="7"/>
      <c r="O85" s="4"/>
    </row>
    <row r="86" spans="1:15" ht="43.5">
      <c r="A86" s="4"/>
      <c r="B86" s="4"/>
      <c r="C86" s="7"/>
      <c r="D86" s="18" t="s">
        <v>694</v>
      </c>
      <c r="E86" s="18" t="s">
        <v>119</v>
      </c>
      <c r="F86" s="18" t="s">
        <v>695</v>
      </c>
      <c r="G86" s="18" t="s">
        <v>412</v>
      </c>
      <c r="H86" s="18" t="s">
        <v>611</v>
      </c>
      <c r="I86" s="18" t="s">
        <v>617</v>
      </c>
      <c r="J86" s="18"/>
      <c r="K86" s="18"/>
      <c r="L86" s="18" t="s">
        <v>317</v>
      </c>
      <c r="M86" s="18"/>
      <c r="N86" s="7"/>
      <c r="O86" s="4"/>
    </row>
    <row r="87" spans="1:15" ht="43.5">
      <c r="A87" s="4"/>
      <c r="B87" s="4"/>
      <c r="C87" s="7"/>
      <c r="D87" s="18" t="s">
        <v>696</v>
      </c>
      <c r="E87" s="18" t="s">
        <v>119</v>
      </c>
      <c r="F87" s="18" t="s">
        <v>697</v>
      </c>
      <c r="G87" s="18" t="s">
        <v>412</v>
      </c>
      <c r="H87" s="18" t="s">
        <v>611</v>
      </c>
      <c r="I87" s="18" t="s">
        <v>617</v>
      </c>
      <c r="J87" s="18"/>
      <c r="K87" s="18"/>
      <c r="L87" s="18" t="s">
        <v>317</v>
      </c>
      <c r="M87" s="18"/>
      <c r="N87" s="7"/>
      <c r="O87" s="4"/>
    </row>
    <row r="88" spans="1:15" ht="43.5">
      <c r="A88" s="4"/>
      <c r="B88" s="4"/>
      <c r="C88" s="7"/>
      <c r="D88" s="18" t="s">
        <v>698</v>
      </c>
      <c r="E88" s="18" t="s">
        <v>119</v>
      </c>
      <c r="F88" s="18" t="s">
        <v>699</v>
      </c>
      <c r="G88" s="18" t="s">
        <v>412</v>
      </c>
      <c r="H88" s="18" t="s">
        <v>611</v>
      </c>
      <c r="I88" s="18" t="s">
        <v>617</v>
      </c>
      <c r="J88" s="18"/>
      <c r="K88" s="18"/>
      <c r="L88" s="18" t="s">
        <v>921</v>
      </c>
      <c r="M88" s="18" t="s">
        <v>922</v>
      </c>
      <c r="N88" s="7"/>
      <c r="O88" s="4"/>
    </row>
    <row r="89" spans="1:15" ht="43.5">
      <c r="A89" s="4"/>
      <c r="B89" s="4"/>
      <c r="C89" s="7"/>
      <c r="D89" s="18" t="s">
        <v>700</v>
      </c>
      <c r="E89" s="18" t="s">
        <v>119</v>
      </c>
      <c r="F89" s="18" t="s">
        <v>701</v>
      </c>
      <c r="G89" s="18" t="s">
        <v>412</v>
      </c>
      <c r="H89" s="18" t="s">
        <v>611</v>
      </c>
      <c r="I89" s="18" t="s">
        <v>617</v>
      </c>
      <c r="J89" s="18"/>
      <c r="K89" s="18"/>
      <c r="L89" s="18" t="s">
        <v>921</v>
      </c>
      <c r="M89" s="18" t="s">
        <v>922</v>
      </c>
      <c r="N89" s="7"/>
      <c r="O89" s="4"/>
    </row>
    <row r="90" spans="1:15" ht="43.5">
      <c r="A90" s="4"/>
      <c r="B90" s="4"/>
      <c r="C90" s="7"/>
      <c r="D90" s="18" t="s">
        <v>702</v>
      </c>
      <c r="E90" s="18" t="s">
        <v>119</v>
      </c>
      <c r="F90" s="18" t="s">
        <v>703</v>
      </c>
      <c r="G90" s="18" t="s">
        <v>412</v>
      </c>
      <c r="H90" s="18" t="s">
        <v>611</v>
      </c>
      <c r="I90" s="18" t="s">
        <v>617</v>
      </c>
      <c r="J90" s="18"/>
      <c r="K90" s="18"/>
      <c r="L90" s="18" t="s">
        <v>921</v>
      </c>
      <c r="M90" s="18"/>
      <c r="N90" s="7"/>
      <c r="O90" s="4"/>
    </row>
    <row r="91" spans="1:15" ht="43.5">
      <c r="A91" s="4"/>
      <c r="B91" s="4"/>
      <c r="C91" s="7"/>
      <c r="D91" s="18" t="s">
        <v>704</v>
      </c>
      <c r="E91" s="18" t="s">
        <v>119</v>
      </c>
      <c r="F91" s="18" t="s">
        <v>705</v>
      </c>
      <c r="G91" s="18" t="s">
        <v>412</v>
      </c>
      <c r="H91" s="18" t="s">
        <v>611</v>
      </c>
      <c r="I91" s="18" t="s">
        <v>617</v>
      </c>
      <c r="J91" s="18"/>
      <c r="K91" s="18"/>
      <c r="L91" s="18" t="s">
        <v>921</v>
      </c>
      <c r="M91" s="18" t="s">
        <v>922</v>
      </c>
      <c r="N91" s="7"/>
      <c r="O91" s="4"/>
    </row>
    <row r="92" spans="1:15" ht="43.5">
      <c r="A92" s="4"/>
      <c r="B92" s="4"/>
      <c r="C92" s="7"/>
      <c r="D92" s="18" t="s">
        <v>706</v>
      </c>
      <c r="E92" s="18" t="s">
        <v>185</v>
      </c>
      <c r="F92" s="18" t="s">
        <v>707</v>
      </c>
      <c r="G92" s="18" t="s">
        <v>645</v>
      </c>
      <c r="H92" s="18" t="s">
        <v>611</v>
      </c>
      <c r="I92" s="18" t="s">
        <v>617</v>
      </c>
      <c r="J92" s="18"/>
      <c r="K92" s="18"/>
      <c r="L92" s="18" t="s">
        <v>317</v>
      </c>
      <c r="M92" s="18" t="s">
        <v>414</v>
      </c>
      <c r="N92" s="7"/>
      <c r="O92" s="4"/>
    </row>
    <row r="93" spans="1:15" ht="43.5">
      <c r="A93" s="4"/>
      <c r="B93" s="4"/>
      <c r="C93" s="7"/>
      <c r="D93" s="18" t="s">
        <v>708</v>
      </c>
      <c r="E93" s="18" t="s">
        <v>185</v>
      </c>
      <c r="F93" s="18" t="s">
        <v>709</v>
      </c>
      <c r="G93" s="18" t="s">
        <v>412</v>
      </c>
      <c r="H93" s="18" t="s">
        <v>611</v>
      </c>
      <c r="I93" s="18" t="s">
        <v>617</v>
      </c>
      <c r="J93" s="18"/>
      <c r="K93" s="18"/>
      <c r="L93" s="18" t="s">
        <v>317</v>
      </c>
      <c r="M93" s="18" t="s">
        <v>414</v>
      </c>
      <c r="N93" s="7"/>
      <c r="O93" s="4"/>
    </row>
    <row r="94" spans="1:15">
      <c r="A94" s="4"/>
      <c r="B94" s="4"/>
      <c r="C94" s="7"/>
      <c r="D94" s="18" t="s">
        <v>710</v>
      </c>
      <c r="E94" s="18" t="s">
        <v>185</v>
      </c>
      <c r="F94" s="18" t="s">
        <v>711</v>
      </c>
      <c r="G94" s="18" t="s">
        <v>610</v>
      </c>
      <c r="H94" s="18"/>
      <c r="I94" s="18"/>
      <c r="J94" s="18"/>
      <c r="K94" s="18"/>
      <c r="L94" s="18" t="s">
        <v>317</v>
      </c>
      <c r="M94" s="18" t="s">
        <v>931</v>
      </c>
      <c r="N94" s="7"/>
      <c r="O94" s="4"/>
    </row>
    <row r="95" spans="1:15" ht="43.5">
      <c r="A95" s="4"/>
      <c r="B95" s="4"/>
      <c r="C95" s="7"/>
      <c r="D95" s="18" t="s">
        <v>712</v>
      </c>
      <c r="E95" s="18" t="s">
        <v>185</v>
      </c>
      <c r="F95" s="18" t="s">
        <v>713</v>
      </c>
      <c r="G95" s="18" t="s">
        <v>413</v>
      </c>
      <c r="H95" s="18" t="s">
        <v>611</v>
      </c>
      <c r="I95" s="18" t="s">
        <v>617</v>
      </c>
      <c r="J95" s="18"/>
      <c r="K95" s="18"/>
      <c r="L95" s="18" t="s">
        <v>317</v>
      </c>
      <c r="M95" s="18" t="s">
        <v>932</v>
      </c>
      <c r="N95" s="7"/>
      <c r="O95" s="4"/>
    </row>
    <row r="96" spans="1:15" ht="43.5">
      <c r="A96" s="4"/>
      <c r="B96" s="4"/>
      <c r="C96" s="7"/>
      <c r="D96" s="18" t="s">
        <v>714</v>
      </c>
      <c r="E96" s="18" t="s">
        <v>185</v>
      </c>
      <c r="F96" s="18" t="s">
        <v>715</v>
      </c>
      <c r="G96" s="18" t="s">
        <v>413</v>
      </c>
      <c r="H96" s="18" t="s">
        <v>611</v>
      </c>
      <c r="I96" s="18" t="s">
        <v>617</v>
      </c>
      <c r="J96" s="18"/>
      <c r="K96" s="18"/>
      <c r="L96" s="18" t="s">
        <v>922</v>
      </c>
      <c r="M96" s="18" t="s">
        <v>922</v>
      </c>
      <c r="N96" s="7"/>
      <c r="O96" s="4"/>
    </row>
    <row r="97" spans="1:15" ht="43.5">
      <c r="A97" s="4"/>
      <c r="B97" s="4"/>
      <c r="C97" s="7"/>
      <c r="D97" s="18" t="s">
        <v>716</v>
      </c>
      <c r="E97" s="18" t="s">
        <v>351</v>
      </c>
      <c r="F97" s="18" t="s">
        <v>373</v>
      </c>
      <c r="G97" s="18" t="s">
        <v>412</v>
      </c>
      <c r="H97" s="18" t="s">
        <v>611</v>
      </c>
      <c r="I97" s="18" t="s">
        <v>617</v>
      </c>
      <c r="J97" s="18"/>
      <c r="K97" s="18"/>
      <c r="L97" s="288" t="s">
        <v>317</v>
      </c>
      <c r="M97" s="18" t="s">
        <v>922</v>
      </c>
      <c r="N97" s="7"/>
      <c r="O97" s="4"/>
    </row>
    <row r="98" spans="1:15" ht="43.5">
      <c r="A98" s="4"/>
      <c r="B98" s="4"/>
      <c r="C98" s="7"/>
      <c r="D98" s="18" t="s">
        <v>717</v>
      </c>
      <c r="E98" s="18" t="s">
        <v>351</v>
      </c>
      <c r="F98" s="18" t="s">
        <v>374</v>
      </c>
      <c r="G98" s="18" t="s">
        <v>412</v>
      </c>
      <c r="H98" s="18" t="s">
        <v>611</v>
      </c>
      <c r="I98" s="18" t="s">
        <v>617</v>
      </c>
      <c r="J98" s="18"/>
      <c r="K98" s="18"/>
      <c r="L98" s="288" t="s">
        <v>317</v>
      </c>
      <c r="M98" s="18" t="s">
        <v>922</v>
      </c>
      <c r="N98" s="7"/>
      <c r="O98" s="4"/>
    </row>
    <row r="99" spans="1:15" ht="43.5">
      <c r="A99" s="4"/>
      <c r="B99" s="4"/>
      <c r="C99" s="7"/>
      <c r="D99" s="18" t="s">
        <v>718</v>
      </c>
      <c r="E99" s="18" t="s">
        <v>351</v>
      </c>
      <c r="F99" s="18" t="s">
        <v>375</v>
      </c>
      <c r="G99" s="18" t="s">
        <v>412</v>
      </c>
      <c r="H99" s="18" t="s">
        <v>611</v>
      </c>
      <c r="I99" s="18" t="s">
        <v>617</v>
      </c>
      <c r="J99" s="18"/>
      <c r="K99" s="18"/>
      <c r="L99" s="288" t="s">
        <v>317</v>
      </c>
      <c r="M99" s="18" t="s">
        <v>922</v>
      </c>
      <c r="N99" s="7"/>
      <c r="O99" s="4"/>
    </row>
    <row r="100" spans="1:15" ht="43.5">
      <c r="A100" s="4"/>
      <c r="B100" s="4"/>
      <c r="C100" s="7"/>
      <c r="D100" s="18" t="s">
        <v>719</v>
      </c>
      <c r="E100" s="18" t="s">
        <v>351</v>
      </c>
      <c r="F100" s="18" t="s">
        <v>376</v>
      </c>
      <c r="G100" s="18" t="s">
        <v>412</v>
      </c>
      <c r="H100" s="18" t="s">
        <v>611</v>
      </c>
      <c r="I100" s="18" t="s">
        <v>617</v>
      </c>
      <c r="J100" s="18"/>
      <c r="K100" s="18"/>
      <c r="L100" s="288" t="s">
        <v>317</v>
      </c>
      <c r="M100" s="18" t="s">
        <v>922</v>
      </c>
      <c r="N100" s="7"/>
      <c r="O100" s="4"/>
    </row>
    <row r="101" spans="1:15" ht="43.5">
      <c r="A101" s="4"/>
      <c r="B101" s="4"/>
      <c r="C101" s="7"/>
      <c r="D101" s="18" t="s">
        <v>720</v>
      </c>
      <c r="E101" s="18" t="s">
        <v>351</v>
      </c>
      <c r="F101" s="18" t="s">
        <v>377</v>
      </c>
      <c r="G101" s="18" t="s">
        <v>721</v>
      </c>
      <c r="H101" s="18" t="s">
        <v>611</v>
      </c>
      <c r="I101" s="18" t="s">
        <v>617</v>
      </c>
      <c r="J101" s="18"/>
      <c r="K101" s="18"/>
      <c r="L101" s="288" t="s">
        <v>317</v>
      </c>
      <c r="M101" s="18" t="s">
        <v>922</v>
      </c>
      <c r="N101" s="7"/>
      <c r="O101" s="4"/>
    </row>
    <row r="102" spans="1:15" ht="43.5">
      <c r="A102" s="4"/>
      <c r="B102" s="4"/>
      <c r="C102" s="7"/>
      <c r="D102" s="18" t="s">
        <v>722</v>
      </c>
      <c r="E102" s="18" t="s">
        <v>351</v>
      </c>
      <c r="F102" s="18" t="s">
        <v>378</v>
      </c>
      <c r="G102" s="18" t="s">
        <v>721</v>
      </c>
      <c r="H102" s="18" t="s">
        <v>611</v>
      </c>
      <c r="I102" s="18" t="s">
        <v>617</v>
      </c>
      <c r="J102" s="18"/>
      <c r="K102" s="18"/>
      <c r="L102" s="288" t="s">
        <v>317</v>
      </c>
      <c r="M102" s="18" t="s">
        <v>922</v>
      </c>
      <c r="N102" s="7"/>
      <c r="O102" s="4"/>
    </row>
    <row r="103" spans="1:15" ht="43.5">
      <c r="A103" s="4"/>
      <c r="B103" s="4"/>
      <c r="C103" s="7"/>
      <c r="D103" s="18" t="s">
        <v>723</v>
      </c>
      <c r="E103" s="18" t="s">
        <v>351</v>
      </c>
      <c r="F103" s="18" t="s">
        <v>380</v>
      </c>
      <c r="G103" s="18" t="s">
        <v>645</v>
      </c>
      <c r="H103" s="18" t="s">
        <v>611</v>
      </c>
      <c r="I103" s="18" t="s">
        <v>617</v>
      </c>
      <c r="J103" s="18"/>
      <c r="K103" s="18"/>
      <c r="L103" s="288" t="s">
        <v>317</v>
      </c>
      <c r="M103" s="18" t="s">
        <v>922</v>
      </c>
      <c r="N103" s="7"/>
      <c r="O103" s="4"/>
    </row>
    <row r="104" spans="1:15" ht="43.5">
      <c r="A104" s="4"/>
      <c r="B104" s="4"/>
      <c r="C104" s="7"/>
      <c r="D104" s="18" t="s">
        <v>724</v>
      </c>
      <c r="E104" s="18" t="s">
        <v>351</v>
      </c>
      <c r="F104" s="18" t="s">
        <v>725</v>
      </c>
      <c r="G104" s="18" t="s">
        <v>645</v>
      </c>
      <c r="H104" s="18" t="s">
        <v>611</v>
      </c>
      <c r="I104" s="18" t="s">
        <v>617</v>
      </c>
      <c r="J104" s="18"/>
      <c r="K104" s="18"/>
      <c r="L104" s="288" t="s">
        <v>317</v>
      </c>
      <c r="M104" s="18" t="s">
        <v>922</v>
      </c>
      <c r="N104" s="7"/>
      <c r="O104" s="4"/>
    </row>
    <row r="105" spans="1:15" ht="43.5">
      <c r="A105" s="4"/>
      <c r="B105" s="4"/>
      <c r="C105" s="7"/>
      <c r="D105" s="18" t="s">
        <v>726</v>
      </c>
      <c r="E105" s="18" t="s">
        <v>351</v>
      </c>
      <c r="F105" s="18" t="s">
        <v>382</v>
      </c>
      <c r="G105" s="18" t="s">
        <v>645</v>
      </c>
      <c r="H105" s="18" t="s">
        <v>611</v>
      </c>
      <c r="I105" s="18" t="s">
        <v>617</v>
      </c>
      <c r="J105" s="18"/>
      <c r="K105" s="18"/>
      <c r="L105" s="288" t="s">
        <v>317</v>
      </c>
      <c r="M105" s="18" t="s">
        <v>922</v>
      </c>
      <c r="N105" s="7"/>
      <c r="O105" s="4"/>
    </row>
    <row r="106" spans="1:15" ht="43.5">
      <c r="A106" s="4"/>
      <c r="B106" s="4"/>
      <c r="C106" s="7"/>
      <c r="D106" s="18" t="s">
        <v>727</v>
      </c>
      <c r="E106" s="18" t="s">
        <v>351</v>
      </c>
      <c r="F106" s="18" t="s">
        <v>383</v>
      </c>
      <c r="G106" s="18" t="s">
        <v>645</v>
      </c>
      <c r="H106" s="18" t="s">
        <v>611</v>
      </c>
      <c r="I106" s="18" t="s">
        <v>617</v>
      </c>
      <c r="J106" s="18"/>
      <c r="K106" s="18"/>
      <c r="L106" s="288" t="s">
        <v>317</v>
      </c>
      <c r="M106" s="18" t="s">
        <v>922</v>
      </c>
      <c r="N106" s="7"/>
      <c r="O106" s="4"/>
    </row>
    <row r="107" spans="1:15" ht="43.5">
      <c r="A107" s="4"/>
      <c r="B107" s="4"/>
      <c r="C107" s="7"/>
      <c r="D107" s="18" t="s">
        <v>728</v>
      </c>
      <c r="E107" s="18" t="s">
        <v>351</v>
      </c>
      <c r="F107" s="18" t="s">
        <v>729</v>
      </c>
      <c r="G107" s="18" t="s">
        <v>412</v>
      </c>
      <c r="H107" s="18" t="s">
        <v>611</v>
      </c>
      <c r="I107" s="18" t="s">
        <v>617</v>
      </c>
      <c r="J107" s="18"/>
      <c r="K107" s="18"/>
      <c r="L107" s="288" t="s">
        <v>317</v>
      </c>
      <c r="M107" s="18" t="s">
        <v>922</v>
      </c>
      <c r="N107" s="7"/>
      <c r="O107" s="4"/>
    </row>
    <row r="108" spans="1:15" ht="43.5">
      <c r="A108" s="4"/>
      <c r="B108" s="4"/>
      <c r="C108" s="7"/>
      <c r="D108" s="18" t="s">
        <v>730</v>
      </c>
      <c r="E108" s="18" t="s">
        <v>351</v>
      </c>
      <c r="F108" s="18" t="s">
        <v>387</v>
      </c>
      <c r="G108" s="18" t="s">
        <v>645</v>
      </c>
      <c r="H108" s="18" t="s">
        <v>611</v>
      </c>
      <c r="I108" s="18" t="s">
        <v>617</v>
      </c>
      <c r="J108" s="18"/>
      <c r="K108" s="18"/>
      <c r="L108" s="288" t="s">
        <v>317</v>
      </c>
      <c r="M108" s="18" t="s">
        <v>423</v>
      </c>
      <c r="N108" s="7"/>
      <c r="O108" s="4"/>
    </row>
    <row r="109" spans="1:15" ht="43.5">
      <c r="A109" s="4"/>
      <c r="B109" s="4"/>
      <c r="C109" s="7"/>
      <c r="D109" s="18" t="s">
        <v>731</v>
      </c>
      <c r="E109" s="18" t="s">
        <v>351</v>
      </c>
      <c r="F109" s="18" t="s">
        <v>379</v>
      </c>
      <c r="G109" s="18" t="s">
        <v>721</v>
      </c>
      <c r="H109" s="18" t="s">
        <v>611</v>
      </c>
      <c r="I109" s="18" t="s">
        <v>617</v>
      </c>
      <c r="J109" s="18"/>
      <c r="K109" s="18"/>
      <c r="L109" s="288" t="s">
        <v>317</v>
      </c>
      <c r="M109" s="18" t="s">
        <v>922</v>
      </c>
      <c r="N109" s="7"/>
      <c r="O109" s="4"/>
    </row>
    <row r="110" spans="1:15" ht="43.5">
      <c r="A110" s="4"/>
      <c r="B110" s="4"/>
      <c r="C110" s="7"/>
      <c r="D110" s="18" t="s">
        <v>733</v>
      </c>
      <c r="E110" s="18" t="s">
        <v>732</v>
      </c>
      <c r="F110" s="84" t="s">
        <v>734</v>
      </c>
      <c r="G110" s="18" t="s">
        <v>610</v>
      </c>
      <c r="H110" s="18" t="s">
        <v>611</v>
      </c>
      <c r="I110" s="18" t="s">
        <v>617</v>
      </c>
      <c r="J110" s="18" t="s">
        <v>475</v>
      </c>
      <c r="K110" s="18" t="s">
        <v>482</v>
      </c>
      <c r="L110" s="18" t="s">
        <v>317</v>
      </c>
      <c r="M110" s="18" t="s">
        <v>933</v>
      </c>
      <c r="N110" s="7"/>
      <c r="O110" s="4"/>
    </row>
    <row r="111" spans="1:15" ht="43.5">
      <c r="A111" s="4"/>
      <c r="B111" s="4"/>
      <c r="C111" s="7"/>
      <c r="D111" s="18" t="s">
        <v>735</v>
      </c>
      <c r="E111" s="18" t="s">
        <v>732</v>
      </c>
      <c r="F111" s="84" t="s">
        <v>736</v>
      </c>
      <c r="G111" s="18" t="s">
        <v>610</v>
      </c>
      <c r="H111" s="18" t="s">
        <v>611</v>
      </c>
      <c r="I111" s="18" t="s">
        <v>617</v>
      </c>
      <c r="J111" s="18" t="s">
        <v>475</v>
      </c>
      <c r="K111" s="18" t="s">
        <v>482</v>
      </c>
      <c r="L111" s="18" t="s">
        <v>317</v>
      </c>
      <c r="M111" s="18" t="s">
        <v>934</v>
      </c>
      <c r="N111" s="7"/>
      <c r="O111" s="4"/>
    </row>
    <row r="112" spans="1:15" ht="43.5">
      <c r="A112" s="4"/>
      <c r="B112" s="4"/>
      <c r="C112" s="7"/>
      <c r="D112" s="18" t="s">
        <v>737</v>
      </c>
      <c r="E112" s="18" t="s">
        <v>732</v>
      </c>
      <c r="F112" s="84" t="s">
        <v>738</v>
      </c>
      <c r="G112" s="18" t="s">
        <v>610</v>
      </c>
      <c r="H112" s="18" t="s">
        <v>611</v>
      </c>
      <c r="I112" s="18" t="s">
        <v>617</v>
      </c>
      <c r="J112" s="18" t="s">
        <v>475</v>
      </c>
      <c r="K112" s="18" t="s">
        <v>482</v>
      </c>
      <c r="L112" s="18" t="s">
        <v>317</v>
      </c>
      <c r="M112" s="18" t="s">
        <v>935</v>
      </c>
      <c r="N112" s="7"/>
      <c r="O112" s="4"/>
    </row>
    <row r="113" spans="1:15" ht="43.5">
      <c r="A113" s="4"/>
      <c r="B113" s="4"/>
      <c r="C113" s="7"/>
      <c r="D113" s="18" t="s">
        <v>739</v>
      </c>
      <c r="E113" s="18" t="s">
        <v>732</v>
      </c>
      <c r="F113" s="84" t="s">
        <v>740</v>
      </c>
      <c r="G113" s="18" t="s">
        <v>610</v>
      </c>
      <c r="H113" s="18" t="s">
        <v>611</v>
      </c>
      <c r="I113" s="18" t="s">
        <v>617</v>
      </c>
      <c r="J113" s="18" t="s">
        <v>475</v>
      </c>
      <c r="K113" s="18" t="s">
        <v>482</v>
      </c>
      <c r="L113" s="18" t="s">
        <v>317</v>
      </c>
      <c r="M113" s="18" t="s">
        <v>936</v>
      </c>
      <c r="N113" s="7"/>
      <c r="O113" s="4"/>
    </row>
    <row r="114" spans="1:15" ht="43.5">
      <c r="A114" s="4"/>
      <c r="B114" s="4"/>
      <c r="C114" s="7"/>
      <c r="D114" s="18" t="s">
        <v>741</v>
      </c>
      <c r="E114" s="18" t="s">
        <v>732</v>
      </c>
      <c r="F114" s="84" t="s">
        <v>742</v>
      </c>
      <c r="G114" s="18" t="s">
        <v>610</v>
      </c>
      <c r="H114" s="18" t="s">
        <v>611</v>
      </c>
      <c r="I114" s="18" t="s">
        <v>617</v>
      </c>
      <c r="J114" s="18" t="s">
        <v>475</v>
      </c>
      <c r="K114" s="18" t="s">
        <v>482</v>
      </c>
      <c r="L114" s="18" t="s">
        <v>317</v>
      </c>
      <c r="M114" s="18"/>
      <c r="N114" s="7"/>
      <c r="O114" s="4"/>
    </row>
    <row r="115" spans="1:15" ht="43.5">
      <c r="A115" s="4"/>
      <c r="B115" s="4"/>
      <c r="C115" s="7"/>
      <c r="D115" s="18" t="s">
        <v>743</v>
      </c>
      <c r="E115" s="18" t="s">
        <v>732</v>
      </c>
      <c r="F115" s="84" t="s">
        <v>744</v>
      </c>
      <c r="G115" s="18" t="s">
        <v>610</v>
      </c>
      <c r="H115" s="18" t="s">
        <v>611</v>
      </c>
      <c r="I115" s="18" t="s">
        <v>617</v>
      </c>
      <c r="J115" s="18" t="s">
        <v>475</v>
      </c>
      <c r="K115" s="18" t="s">
        <v>482</v>
      </c>
      <c r="L115" s="18" t="s">
        <v>317</v>
      </c>
      <c r="M115" s="18"/>
      <c r="N115" s="7"/>
      <c r="O115" s="4"/>
    </row>
    <row r="116" spans="1:15" ht="43.5">
      <c r="A116" s="4"/>
      <c r="B116" s="4"/>
      <c r="C116" s="7"/>
      <c r="D116" s="18" t="s">
        <v>745</v>
      </c>
      <c r="E116" s="18" t="s">
        <v>732</v>
      </c>
      <c r="F116" s="84" t="s">
        <v>395</v>
      </c>
      <c r="G116" s="18" t="s">
        <v>610</v>
      </c>
      <c r="H116" s="18" t="s">
        <v>611</v>
      </c>
      <c r="I116" s="18" t="s">
        <v>617</v>
      </c>
      <c r="J116" s="18" t="s">
        <v>475</v>
      </c>
      <c r="K116" s="18" t="s">
        <v>482</v>
      </c>
      <c r="L116" s="18" t="s">
        <v>317</v>
      </c>
      <c r="M116" s="18"/>
      <c r="N116" s="7"/>
      <c r="O116" s="4"/>
    </row>
    <row r="117" spans="1:15" ht="43.5">
      <c r="A117" s="4"/>
      <c r="B117" s="4"/>
      <c r="C117" s="7"/>
      <c r="D117" s="18" t="s">
        <v>746</v>
      </c>
      <c r="E117" s="18" t="s">
        <v>732</v>
      </c>
      <c r="F117" s="84" t="s">
        <v>747</v>
      </c>
      <c r="G117" s="18" t="s">
        <v>610</v>
      </c>
      <c r="H117" s="18" t="s">
        <v>611</v>
      </c>
      <c r="I117" s="18" t="s">
        <v>617</v>
      </c>
      <c r="J117" s="18" t="s">
        <v>475</v>
      </c>
      <c r="K117" s="18" t="s">
        <v>482</v>
      </c>
      <c r="L117" s="18" t="s">
        <v>317</v>
      </c>
      <c r="M117" s="18"/>
      <c r="N117" s="7"/>
      <c r="O117" s="4"/>
    </row>
    <row r="118" spans="1:15" ht="43.5">
      <c r="A118" s="4"/>
      <c r="B118" s="4"/>
      <c r="C118" s="7"/>
      <c r="D118" s="18" t="s">
        <v>748</v>
      </c>
      <c r="E118" s="18" t="s">
        <v>732</v>
      </c>
      <c r="F118" s="84" t="s">
        <v>749</v>
      </c>
      <c r="G118" s="18" t="s">
        <v>610</v>
      </c>
      <c r="H118" s="18" t="s">
        <v>611</v>
      </c>
      <c r="I118" s="18" t="s">
        <v>617</v>
      </c>
      <c r="J118" s="18" t="s">
        <v>475</v>
      </c>
      <c r="K118" s="18" t="s">
        <v>482</v>
      </c>
      <c r="L118" s="18" t="s">
        <v>317</v>
      </c>
      <c r="M118" s="18"/>
      <c r="N118" s="7"/>
      <c r="O118" s="4"/>
    </row>
    <row r="119" spans="1:15">
      <c r="A119" s="4"/>
      <c r="B119" s="4"/>
      <c r="C119" s="7"/>
      <c r="D119" s="18" t="s">
        <v>750</v>
      </c>
      <c r="E119" s="18" t="s">
        <v>751</v>
      </c>
      <c r="F119" s="18" t="s">
        <v>752</v>
      </c>
      <c r="G119" s="18" t="s">
        <v>412</v>
      </c>
      <c r="H119" s="18"/>
      <c r="I119" s="18"/>
      <c r="J119" s="18"/>
      <c r="K119" s="18"/>
      <c r="L119" s="18" t="s">
        <v>317</v>
      </c>
      <c r="M119" s="18" t="s">
        <v>937</v>
      </c>
      <c r="N119" s="7"/>
      <c r="O119" s="4"/>
    </row>
    <row r="120" spans="1:15">
      <c r="A120" s="4"/>
      <c r="B120" s="4"/>
      <c r="C120" s="7"/>
      <c r="D120" s="18" t="s">
        <v>753</v>
      </c>
      <c r="E120" s="18" t="s">
        <v>751</v>
      </c>
      <c r="F120" s="18" t="s">
        <v>754</v>
      </c>
      <c r="G120" s="18" t="s">
        <v>721</v>
      </c>
      <c r="H120" s="18"/>
      <c r="I120" s="18"/>
      <c r="J120" s="18"/>
      <c r="K120" s="18"/>
      <c r="L120" s="18" t="s">
        <v>317</v>
      </c>
      <c r="M120" s="18" t="s">
        <v>937</v>
      </c>
      <c r="N120" s="7"/>
      <c r="O120" s="4"/>
    </row>
    <row r="121" spans="1:15">
      <c r="A121" s="4"/>
      <c r="B121" s="4"/>
      <c r="C121" s="7"/>
      <c r="D121" s="18" t="s">
        <v>755</v>
      </c>
      <c r="E121" s="18" t="s">
        <v>751</v>
      </c>
      <c r="F121" s="18" t="s">
        <v>756</v>
      </c>
      <c r="G121" s="18" t="s">
        <v>412</v>
      </c>
      <c r="H121" s="18"/>
      <c r="I121" s="18"/>
      <c r="J121" s="18"/>
      <c r="K121" s="18"/>
      <c r="L121" s="18" t="s">
        <v>317</v>
      </c>
      <c r="M121" s="18" t="s">
        <v>937</v>
      </c>
      <c r="N121" s="7"/>
      <c r="O121" s="4"/>
    </row>
    <row r="122" spans="1:15">
      <c r="A122" s="4"/>
      <c r="B122" s="4"/>
      <c r="C122" s="7"/>
      <c r="D122" s="18" t="s">
        <v>757</v>
      </c>
      <c r="E122" s="18" t="s">
        <v>751</v>
      </c>
      <c r="F122" s="18" t="s">
        <v>758</v>
      </c>
      <c r="G122" s="18" t="s">
        <v>412</v>
      </c>
      <c r="H122" s="18"/>
      <c r="I122" s="18"/>
      <c r="J122" s="18"/>
      <c r="K122" s="18"/>
      <c r="L122" s="18" t="s">
        <v>317</v>
      </c>
      <c r="M122" s="18" t="s">
        <v>937</v>
      </c>
      <c r="N122" s="7"/>
      <c r="O122" s="4"/>
    </row>
    <row r="123" spans="1:15">
      <c r="A123" s="4"/>
      <c r="B123" s="4"/>
      <c r="C123" s="7"/>
      <c r="D123" s="18" t="s">
        <v>759</v>
      </c>
      <c r="E123" s="18" t="s">
        <v>751</v>
      </c>
      <c r="F123" s="18" t="s">
        <v>760</v>
      </c>
      <c r="G123" s="18" t="s">
        <v>412</v>
      </c>
      <c r="H123" s="18"/>
      <c r="I123" s="18"/>
      <c r="J123" s="18"/>
      <c r="K123" s="18"/>
      <c r="L123" s="18" t="s">
        <v>317</v>
      </c>
      <c r="M123" s="18" t="s">
        <v>937</v>
      </c>
      <c r="N123" s="7"/>
      <c r="O123" s="4"/>
    </row>
    <row r="124" spans="1:15" ht="43.5">
      <c r="A124" s="4"/>
      <c r="B124" s="4"/>
      <c r="C124" s="7"/>
      <c r="D124" s="18" t="s">
        <v>761</v>
      </c>
      <c r="E124" s="18" t="s">
        <v>751</v>
      </c>
      <c r="F124" s="18" t="s">
        <v>762</v>
      </c>
      <c r="G124" s="18" t="s">
        <v>412</v>
      </c>
      <c r="H124" s="18"/>
      <c r="I124" s="18"/>
      <c r="J124" s="18"/>
      <c r="K124" s="18"/>
      <c r="L124" s="18" t="s">
        <v>317</v>
      </c>
      <c r="M124" s="18" t="s">
        <v>937</v>
      </c>
      <c r="N124" s="7"/>
      <c r="O124" s="4"/>
    </row>
    <row r="125" spans="1:15">
      <c r="A125" s="4"/>
      <c r="B125" s="4"/>
      <c r="C125" s="7"/>
      <c r="D125" s="18" t="s">
        <v>763</v>
      </c>
      <c r="E125" s="18" t="s">
        <v>751</v>
      </c>
      <c r="F125" s="18" t="s">
        <v>764</v>
      </c>
      <c r="G125" s="18" t="s">
        <v>412</v>
      </c>
      <c r="H125" s="18"/>
      <c r="I125" s="18"/>
      <c r="J125" s="18"/>
      <c r="K125" s="18"/>
      <c r="L125" s="18" t="s">
        <v>317</v>
      </c>
      <c r="M125" s="18" t="s">
        <v>937</v>
      </c>
      <c r="N125" s="7"/>
      <c r="O125" s="4"/>
    </row>
    <row r="126" spans="1:15" ht="43.5">
      <c r="A126" s="4"/>
      <c r="B126" s="4"/>
      <c r="C126" s="7"/>
      <c r="D126" s="18" t="s">
        <v>765</v>
      </c>
      <c r="E126" s="18" t="s">
        <v>751</v>
      </c>
      <c r="F126" s="18" t="s">
        <v>766</v>
      </c>
      <c r="G126" s="18" t="s">
        <v>412</v>
      </c>
      <c r="H126" s="18"/>
      <c r="I126" s="18"/>
      <c r="J126" s="18"/>
      <c r="K126" s="18"/>
      <c r="L126" s="18" t="s">
        <v>317</v>
      </c>
      <c r="M126" s="18" t="s">
        <v>937</v>
      </c>
      <c r="N126" s="7"/>
      <c r="O126" s="4"/>
    </row>
    <row r="127" spans="1:15" ht="29.1">
      <c r="A127" s="4"/>
      <c r="B127" s="4"/>
      <c r="C127" s="7"/>
      <c r="D127" s="18" t="s">
        <v>767</v>
      </c>
      <c r="E127" s="18" t="s">
        <v>751</v>
      </c>
      <c r="F127" s="18" t="s">
        <v>768</v>
      </c>
      <c r="G127" s="18" t="s">
        <v>412</v>
      </c>
      <c r="H127" s="18"/>
      <c r="I127" s="18"/>
      <c r="J127" s="18"/>
      <c r="K127" s="18"/>
      <c r="L127" s="18" t="s">
        <v>317</v>
      </c>
      <c r="M127" s="18" t="s">
        <v>937</v>
      </c>
      <c r="N127" s="7"/>
      <c r="O127" s="4"/>
    </row>
    <row r="128" spans="1:15">
      <c r="A128" s="4"/>
      <c r="B128" s="4"/>
      <c r="C128" s="7"/>
      <c r="D128" s="18" t="s">
        <v>769</v>
      </c>
      <c r="E128" s="18" t="s">
        <v>751</v>
      </c>
      <c r="F128" s="18" t="s">
        <v>770</v>
      </c>
      <c r="G128" s="18" t="s">
        <v>412</v>
      </c>
      <c r="H128" s="18"/>
      <c r="I128" s="18"/>
      <c r="J128" s="18"/>
      <c r="K128" s="18"/>
      <c r="L128" s="18" t="s">
        <v>317</v>
      </c>
      <c r="M128" s="18" t="s">
        <v>937</v>
      </c>
      <c r="N128" s="7"/>
      <c r="O128" s="4"/>
    </row>
    <row r="129" spans="1:15">
      <c r="A129" s="4"/>
      <c r="B129" s="4"/>
      <c r="C129" s="7"/>
      <c r="D129" s="18" t="s">
        <v>771</v>
      </c>
      <c r="E129" s="18" t="s">
        <v>751</v>
      </c>
      <c r="F129" s="18" t="s">
        <v>772</v>
      </c>
      <c r="G129" s="18" t="s">
        <v>773</v>
      </c>
      <c r="H129" s="18"/>
      <c r="I129" s="18"/>
      <c r="J129" s="18"/>
      <c r="K129" s="18"/>
      <c r="L129" s="18" t="s">
        <v>317</v>
      </c>
      <c r="M129" s="18" t="s">
        <v>937</v>
      </c>
      <c r="N129" s="7"/>
      <c r="O129" s="4"/>
    </row>
    <row r="130" spans="1:15" ht="43.5">
      <c r="A130" s="4"/>
      <c r="B130" s="4"/>
      <c r="C130" s="7"/>
      <c r="D130" s="18" t="s">
        <v>774</v>
      </c>
      <c r="E130" s="18" t="s">
        <v>751</v>
      </c>
      <c r="F130" s="18" t="s">
        <v>775</v>
      </c>
      <c r="G130" s="18" t="s">
        <v>773</v>
      </c>
      <c r="H130" s="18" t="s">
        <v>611</v>
      </c>
      <c r="I130" s="18" t="s">
        <v>617</v>
      </c>
      <c r="J130" s="18"/>
      <c r="K130" s="18"/>
      <c r="L130" s="18" t="s">
        <v>317</v>
      </c>
      <c r="M130" s="18" t="s">
        <v>938</v>
      </c>
      <c r="N130" s="7"/>
      <c r="O130" s="4"/>
    </row>
    <row r="131" spans="1:15" ht="43.5">
      <c r="A131" s="4"/>
      <c r="B131" s="4"/>
      <c r="C131" s="7"/>
      <c r="D131" s="18" t="s">
        <v>776</v>
      </c>
      <c r="E131" s="18" t="s">
        <v>751</v>
      </c>
      <c r="F131" s="18" t="s">
        <v>777</v>
      </c>
      <c r="G131" s="18" t="s">
        <v>721</v>
      </c>
      <c r="H131" s="18" t="s">
        <v>611</v>
      </c>
      <c r="I131" s="18" t="s">
        <v>617</v>
      </c>
      <c r="J131" s="18"/>
      <c r="K131" s="18"/>
      <c r="L131" s="18" t="s">
        <v>317</v>
      </c>
      <c r="M131" s="18" t="s">
        <v>937</v>
      </c>
      <c r="N131" s="7"/>
      <c r="O131" s="4"/>
    </row>
    <row r="132" spans="1:15" ht="43.5">
      <c r="A132" s="4"/>
      <c r="B132" s="4"/>
      <c r="C132" s="7"/>
      <c r="D132" s="18" t="s">
        <v>780</v>
      </c>
      <c r="E132" s="18" t="s">
        <v>350</v>
      </c>
      <c r="F132" s="18" t="s">
        <v>781</v>
      </c>
      <c r="G132" s="18" t="s">
        <v>412</v>
      </c>
      <c r="H132" s="18" t="s">
        <v>611</v>
      </c>
      <c r="I132" s="18" t="s">
        <v>617</v>
      </c>
      <c r="J132" s="18"/>
      <c r="K132" s="18"/>
      <c r="L132" s="18" t="s">
        <v>317</v>
      </c>
      <c r="M132" s="18"/>
      <c r="N132" s="7"/>
      <c r="O132" s="4"/>
    </row>
    <row r="133" spans="1:15" ht="43.5">
      <c r="A133" s="4"/>
      <c r="B133" s="4"/>
      <c r="C133" s="7"/>
      <c r="D133" s="18" t="s">
        <v>782</v>
      </c>
      <c r="E133" s="18" t="s">
        <v>350</v>
      </c>
      <c r="F133" s="18" t="s">
        <v>783</v>
      </c>
      <c r="G133" s="18" t="s">
        <v>412</v>
      </c>
      <c r="H133" s="18" t="s">
        <v>611</v>
      </c>
      <c r="I133" s="18" t="s">
        <v>617</v>
      </c>
      <c r="J133" s="18"/>
      <c r="K133" s="18"/>
      <c r="L133" s="18" t="s">
        <v>317</v>
      </c>
      <c r="M133" s="18"/>
      <c r="N133" s="7"/>
      <c r="O133" s="4"/>
    </row>
    <row r="134" spans="1:15" ht="43.5">
      <c r="A134" s="4"/>
      <c r="B134" s="4"/>
      <c r="C134" s="7"/>
      <c r="D134" s="18" t="s">
        <v>784</v>
      </c>
      <c r="E134" s="18" t="s">
        <v>350</v>
      </c>
      <c r="F134" s="18" t="s">
        <v>785</v>
      </c>
      <c r="G134" s="18" t="s">
        <v>412</v>
      </c>
      <c r="H134" s="18" t="s">
        <v>611</v>
      </c>
      <c r="I134" s="18" t="s">
        <v>617</v>
      </c>
      <c r="J134" s="18"/>
      <c r="K134" s="18"/>
      <c r="L134" s="18" t="s">
        <v>317</v>
      </c>
      <c r="M134" s="18"/>
      <c r="N134" s="7"/>
      <c r="O134" s="4"/>
    </row>
    <row r="135" spans="1:15" ht="43.5">
      <c r="A135" s="4"/>
      <c r="B135" s="4"/>
      <c r="C135" s="7"/>
      <c r="D135" s="18" t="s">
        <v>786</v>
      </c>
      <c r="E135" s="18" t="s">
        <v>350</v>
      </c>
      <c r="F135" s="18" t="s">
        <v>787</v>
      </c>
      <c r="G135" s="18" t="s">
        <v>412</v>
      </c>
      <c r="H135" s="18" t="s">
        <v>611</v>
      </c>
      <c r="I135" s="18" t="s">
        <v>617</v>
      </c>
      <c r="J135" s="18"/>
      <c r="K135" s="18"/>
      <c r="L135" s="18" t="s">
        <v>317</v>
      </c>
      <c r="M135" s="18"/>
      <c r="N135" s="7"/>
      <c r="O135" s="4"/>
    </row>
    <row r="136" spans="1:15" ht="43.5">
      <c r="A136" s="4"/>
      <c r="B136" s="4"/>
      <c r="C136" s="7"/>
      <c r="D136" s="18" t="s">
        <v>788</v>
      </c>
      <c r="E136" s="18" t="s">
        <v>350</v>
      </c>
      <c r="F136" s="18" t="s">
        <v>789</v>
      </c>
      <c r="G136" s="18" t="s">
        <v>412</v>
      </c>
      <c r="H136" s="18" t="s">
        <v>611</v>
      </c>
      <c r="I136" s="18" t="s">
        <v>617</v>
      </c>
      <c r="J136" s="18"/>
      <c r="K136" s="18"/>
      <c r="L136" s="18" t="s">
        <v>317</v>
      </c>
      <c r="M136" s="18"/>
      <c r="N136" s="7"/>
      <c r="O136" s="4"/>
    </row>
    <row r="137" spans="1:15" ht="43.5">
      <c r="A137" s="4"/>
      <c r="B137" s="4"/>
      <c r="C137" s="7"/>
      <c r="D137" s="18" t="s">
        <v>790</v>
      </c>
      <c r="E137" s="18" t="s">
        <v>217</v>
      </c>
      <c r="F137" s="18" t="s">
        <v>791</v>
      </c>
      <c r="G137" s="18" t="s">
        <v>610</v>
      </c>
      <c r="H137" s="18" t="s">
        <v>611</v>
      </c>
      <c r="I137" s="18" t="s">
        <v>612</v>
      </c>
      <c r="J137" s="18"/>
      <c r="K137" s="18"/>
      <c r="L137" s="59" t="s">
        <v>317</v>
      </c>
      <c r="M137" s="18" t="s">
        <v>922</v>
      </c>
      <c r="N137" s="7"/>
      <c r="O137" s="4"/>
    </row>
    <row r="138" spans="1:15" ht="43.5">
      <c r="A138" s="4"/>
      <c r="B138" s="4"/>
      <c r="C138" s="7"/>
      <c r="D138" s="18" t="s">
        <v>778</v>
      </c>
      <c r="E138" s="18" t="s">
        <v>732</v>
      </c>
      <c r="F138" s="84" t="s">
        <v>792</v>
      </c>
      <c r="G138" s="18" t="s">
        <v>610</v>
      </c>
      <c r="H138" s="18" t="s">
        <v>611</v>
      </c>
      <c r="I138" s="18" t="s">
        <v>617</v>
      </c>
      <c r="J138" s="18"/>
      <c r="K138" s="18"/>
      <c r="L138" s="59" t="s">
        <v>317</v>
      </c>
      <c r="M138" s="18"/>
      <c r="N138" s="7"/>
      <c r="O138" s="4"/>
    </row>
    <row r="139" spans="1:15">
      <c r="A139" s="4"/>
      <c r="B139" s="4"/>
      <c r="C139" s="7"/>
      <c r="D139" s="7"/>
      <c r="E139" s="7"/>
      <c r="F139" s="7"/>
      <c r="G139" s="7"/>
      <c r="H139" s="7"/>
      <c r="I139" s="7"/>
      <c r="J139" s="7"/>
      <c r="K139" s="7"/>
      <c r="L139" s="54"/>
      <c r="M139" s="7"/>
      <c r="N139" s="7"/>
      <c r="O139" s="4"/>
    </row>
    <row r="140" spans="1:15">
      <c r="A140" s="4"/>
      <c r="B140" s="4"/>
      <c r="C140" s="4"/>
      <c r="D140" s="4"/>
      <c r="E140" s="4"/>
      <c r="F140" s="4"/>
      <c r="G140" s="4"/>
      <c r="H140" s="4"/>
      <c r="I140" s="4"/>
      <c r="J140" s="4"/>
      <c r="K140" s="4"/>
      <c r="L140" s="8"/>
      <c r="M140" s="4"/>
      <c r="N140" s="4"/>
      <c r="O140" s="4"/>
    </row>
    <row r="141" spans="1:15" ht="18.600000000000001">
      <c r="A141" s="102"/>
      <c r="B141" s="102"/>
      <c r="C141" s="102" t="s">
        <v>78</v>
      </c>
      <c r="D141" s="102"/>
      <c r="E141" s="102"/>
      <c r="F141" s="102"/>
      <c r="G141" s="102"/>
      <c r="H141" s="102"/>
      <c r="I141" s="102"/>
      <c r="J141" s="102"/>
      <c r="K141" s="102"/>
      <c r="L141" s="174"/>
      <c r="M141" s="102"/>
      <c r="N141" s="102"/>
      <c r="O141" s="102"/>
    </row>
    <row r="142" spans="1:15" outlineLevel="1">
      <c r="A142" s="4"/>
      <c r="B142" s="4"/>
      <c r="C142" s="4"/>
      <c r="D142" s="4"/>
      <c r="E142" s="4"/>
      <c r="F142" s="4"/>
      <c r="G142" s="4"/>
      <c r="H142" s="4"/>
      <c r="I142" s="4"/>
      <c r="J142" s="4"/>
      <c r="K142" s="4"/>
      <c r="L142" s="8"/>
      <c r="M142" s="4"/>
      <c r="N142" s="4"/>
      <c r="O142" s="4"/>
    </row>
    <row r="143" spans="1:15" ht="16.5" outlineLevel="1">
      <c r="A143" s="4"/>
      <c r="B143" s="4"/>
      <c r="C143" s="169"/>
      <c r="D143" s="647" t="s">
        <v>793</v>
      </c>
      <c r="E143" s="647"/>
      <c r="F143" s="647"/>
      <c r="G143" s="93"/>
      <c r="H143" s="7"/>
      <c r="I143" s="7"/>
      <c r="J143" s="7"/>
      <c r="K143" s="7"/>
      <c r="L143" s="54"/>
      <c r="M143" s="7"/>
      <c r="N143" s="7"/>
      <c r="O143" s="4"/>
    </row>
    <row r="144" spans="1:15" ht="16.5" outlineLevel="1">
      <c r="A144" s="4"/>
      <c r="B144" s="4"/>
      <c r="C144" s="169">
        <v>1</v>
      </c>
      <c r="D144" s="7" t="s">
        <v>939</v>
      </c>
      <c r="E144" s="93"/>
      <c r="F144" s="93"/>
      <c r="G144" s="93"/>
      <c r="H144" s="7"/>
      <c r="I144" s="7"/>
      <c r="J144" s="7"/>
      <c r="K144" s="7"/>
      <c r="L144" s="54"/>
      <c r="M144" s="7"/>
      <c r="N144" s="7"/>
      <c r="O144" s="4"/>
    </row>
    <row r="145" spans="1:15" ht="16.5" outlineLevel="1">
      <c r="A145" s="4"/>
      <c r="B145" s="4"/>
      <c r="C145" s="169">
        <v>2</v>
      </c>
      <c r="D145" s="70" t="s">
        <v>795</v>
      </c>
      <c r="E145" s="7"/>
      <c r="F145" s="7"/>
      <c r="G145" s="7"/>
      <c r="H145" s="7"/>
      <c r="I145" s="7"/>
      <c r="J145" s="7"/>
      <c r="K145" s="7"/>
      <c r="L145" s="54"/>
      <c r="M145" s="7"/>
      <c r="N145" s="7"/>
      <c r="O145" s="4"/>
    </row>
    <row r="146" spans="1:15">
      <c r="A146" s="4"/>
      <c r="B146" s="4"/>
      <c r="C146" s="4"/>
      <c r="D146" s="4"/>
      <c r="E146" s="4"/>
      <c r="F146" s="4"/>
      <c r="G146" s="4"/>
      <c r="H146" s="4"/>
      <c r="I146" s="4"/>
      <c r="J146" s="4"/>
      <c r="K146" s="4"/>
      <c r="L146" s="8"/>
      <c r="M146" s="4"/>
      <c r="N146" s="4"/>
      <c r="O146" s="4"/>
    </row>
  </sheetData>
  <mergeCells count="20">
    <mergeCell ref="J44:M44"/>
    <mergeCell ref="E20:F20"/>
    <mergeCell ref="C2:N2"/>
    <mergeCell ref="C3:N3"/>
    <mergeCell ref="D143:F143"/>
    <mergeCell ref="E6:F6"/>
    <mergeCell ref="E7:F7"/>
    <mergeCell ref="E8:F8"/>
    <mergeCell ref="E9:F9"/>
    <mergeCell ref="E10:F10"/>
    <mergeCell ref="E11:F11"/>
    <mergeCell ref="E12:F12"/>
    <mergeCell ref="E13:F13"/>
    <mergeCell ref="E21:F21"/>
    <mergeCell ref="E14:F14"/>
    <mergeCell ref="E16:F16"/>
    <mergeCell ref="E17:F17"/>
    <mergeCell ref="E18:F18"/>
    <mergeCell ref="E15:F15"/>
    <mergeCell ref="E19:F19"/>
  </mergeCells>
  <phoneticPr fontId="1" type="noConversion"/>
  <conditionalFormatting sqref="L46:L138">
    <cfRule type="endsWith" dxfId="1858" priority="11" operator="endsWith" text="No">
      <formula>RIGHT(L46,LEN("No"))="No"</formula>
    </cfRule>
    <cfRule type="containsText" dxfId="1857" priority="12" operator="containsText" text="Yes">
      <formula>NOT(ISERROR(SEARCH("Yes",L46)))</formula>
    </cfRule>
  </conditionalFormatting>
  <dataValidations count="1">
    <dataValidation allowBlank="1" showInputMessage="1" showErrorMessage="1" prompt="Where is this information used?" sqref="H45" xr:uid="{F827823F-F450-4500-9357-D88400BF9B21}"/>
  </dataValidations>
  <hyperlinks>
    <hyperlink ref="D143:F143" r:id="rId1" display="Microsoft Well-Architected Framework Assessments" xr:uid="{3B7AF340-4096-4019-B4DD-F4E139FB601D}"/>
    <hyperlink ref="F111" r:id="rId2" location="im-8-restrict-the-exposure-of-credentials-and-secrets" xr:uid="{651F1333-267F-41F5-B3A4-3BEDAB2AECC4}"/>
    <hyperlink ref="F110" r:id="rId3" location="ns-5-deploy-ddos-protection" xr:uid="{7E88E48D-A28E-4B27-94CD-8A98D99E12F3}"/>
    <hyperlink ref="F112" r:id="rId4" location="pa-8-determine-access-process-for-cloud-provider-support" xr:uid="{6F7B14C5-AEBA-4630-A1A3-762AB10C4090}"/>
    <hyperlink ref="F113" r:id="rId5" xr:uid="{5421AB8D-EBDD-4C6F-BB34-C7ED56E06AB1}"/>
    <hyperlink ref="F114" r:id="rId6" location="lt-1-enable-threat-detection-capabilities" xr:uid="{7941B0A4-695D-43F0-937D-467C418F33D2}"/>
    <hyperlink ref="F115" r:id="rId7" location="lt-1-enable-threat-detection-capabilities" xr:uid="{D66CB593-4AB7-4172-9914-B25B534BAD9C}"/>
    <hyperlink ref="F116" r:id="rId8" location="pv-6-rapidly-and-automatically-remediate-vulnerabilities" xr:uid="{50EB028D-2511-4D01-B0E8-C2D6304005A5}"/>
    <hyperlink ref="F117" r:id="rId9" location="br-2-protect-backup-and-recovery-data" display="Backup and Recovery: Protect Backup and Recovery Data - Ransomware and rogue admin scenario mitigation by using multi-user authorization for Azure Backup to help add a layer of authorization for critical backup operations like policy modifications, disabling soft delete, and vault deletions." xr:uid="{A85BFF84-F020-41D0-A23D-4D39FE3B8CA3}"/>
    <hyperlink ref="F118" r:id="rId10" location="br-2-protect-backup-and-recovery-data" xr:uid="{B6BF0CAB-9D54-4947-9A7B-0EC47F750F17}"/>
    <hyperlink ref="E21" r:id="rId11" display="https://learn.microsoft.com/en-us/azure/architecture/web-apps/app-service/architectures/multi-region" xr:uid="{5DC2BB86-58E8-4294-A109-FE74585C27B5}"/>
    <hyperlink ref="D145" r:id="rId12" display="Determine compliance requirements." xr:uid="{47725571-33C2-4408-AFBB-3C78EFC4BBDF}"/>
    <hyperlink ref="F138" r:id="rId13" xr:uid="{412FEBE3-CFE8-4D40-8A15-0B292E56E0DF}"/>
  </hyperlinks>
  <pageMargins left="0.7" right="0.7" top="0.75" bottom="0.75" header="0.3" footer="0.3"/>
  <pageSetup orientation="portrait" r:id="rId14"/>
  <drawing r:id="rId15"/>
  <tableParts count="1">
    <tablePart r:id="rId16"/>
  </tableParts>
  <extLst>
    <ext xmlns:x14="http://schemas.microsoft.com/office/spreadsheetml/2009/9/main" uri="{78C0D931-6437-407d-A8EE-F0AAD7539E65}">
      <x14:conditionalFormattings>
        <x14:conditionalFormatting xmlns:xm="http://schemas.microsoft.com/office/excel/2006/main">
          <x14:cfRule type="cellIs" priority="1" operator="equal" id="{998E3395-6E57-4D92-ACFD-875405D8CDC5}">
            <xm:f>Data!$L$13</xm:f>
            <x14:dxf>
              <font>
                <color theme="0"/>
              </font>
              <fill>
                <patternFill>
                  <bgColor rgb="FFF25022"/>
                </patternFill>
              </fill>
            </x14:dxf>
          </x14:cfRule>
          <x14:cfRule type="cellIs" priority="2" operator="equal" id="{6E78BFC8-AA10-4CC2-9B8F-76CCFEF00C35}">
            <xm:f>Data!$L$12</xm:f>
            <x14:dxf>
              <font>
                <color theme="0"/>
              </font>
              <fill>
                <patternFill>
                  <bgColor rgb="FFF25022"/>
                </patternFill>
              </fill>
            </x14:dxf>
          </x14:cfRule>
          <x14:cfRule type="cellIs" priority="3" operator="equal" id="{359F7DDB-84C0-4198-854C-AFF685D140CC}">
            <xm:f>Data!$L$11</xm:f>
            <x14:dxf>
              <font>
                <color theme="0"/>
              </font>
              <fill>
                <patternFill>
                  <bgColor rgb="FFF25022"/>
                </patternFill>
              </fill>
            </x14:dxf>
          </x14:cfRule>
          <x14:cfRule type="cellIs" priority="4" operator="equal" id="{DF9E11E7-8DC2-4399-BFA4-ED453D271812}">
            <xm:f>Data!$L$10</xm:f>
            <x14:dxf>
              <font>
                <color theme="0"/>
              </font>
              <fill>
                <patternFill>
                  <bgColor rgb="FFF25022"/>
                </patternFill>
              </fill>
            </x14:dxf>
          </x14:cfRule>
          <x14:cfRule type="cellIs" priority="5" operator="equal" id="{9059D304-BB2E-4B53-8AE0-BA72624454AC}">
            <xm:f>Data!$L$6</xm:f>
            <x14:dxf>
              <font>
                <color theme="0"/>
              </font>
              <fill>
                <patternFill>
                  <bgColor rgb="FFF25022"/>
                </patternFill>
              </fill>
            </x14:dxf>
          </x14:cfRule>
          <x14:cfRule type="cellIs" priority="6" operator="equal" id="{24EA671B-2469-4F09-89AC-45BA00001C45}">
            <xm:f>Data!$L$9</xm:f>
            <x14:dxf>
              <font>
                <color theme="1"/>
              </font>
              <fill>
                <patternFill>
                  <bgColor rgb="FF7FBA00"/>
                </patternFill>
              </fill>
            </x14:dxf>
          </x14:cfRule>
          <x14:cfRule type="cellIs" priority="7" operator="equal" id="{E509201E-0F3F-4F54-BEF8-E7050F3ED7C9}">
            <xm:f>Data!$L$8</xm:f>
            <x14:dxf>
              <font>
                <color theme="1"/>
              </font>
              <fill>
                <patternFill>
                  <bgColor rgb="FF00A4EF"/>
                </patternFill>
              </fill>
            </x14:dxf>
          </x14:cfRule>
          <x14:cfRule type="cellIs" priority="8" operator="equal" id="{90DB6C09-CDCE-455E-904E-F6C925FCC0FA}">
            <xm:f>Data!$L$7</xm:f>
            <x14:dxf>
              <font>
                <color theme="1"/>
              </font>
              <fill>
                <patternFill>
                  <bgColor rgb="FFFFB900"/>
                </patternFill>
              </fill>
            </x14:dxf>
          </x14:cfRule>
          <x14:cfRule type="cellIs" priority="9" operator="equal" id="{43D54E49-8B84-4C21-9B1B-8B40D0C70743}">
            <xm:f>Data!$L$5</xm:f>
            <x14:dxf>
              <font>
                <color theme="0"/>
              </font>
              <fill>
                <patternFill>
                  <bgColor rgb="FFF25022"/>
                </patternFill>
              </fill>
            </x14:dxf>
          </x14:cfRule>
          <x14:cfRule type="cellIs" priority="10" operator="equal" id="{0110B2C7-C233-4ED7-B248-9C49C95B644E}">
            <xm:f>Data!$L$6+Data!$L$14</xm:f>
            <x14:dxf>
              <font>
                <color theme="0"/>
              </font>
              <fill>
                <patternFill>
                  <bgColor rgb="FF747474"/>
                </patternFill>
              </fill>
            </x14:dxf>
          </x14:cfRule>
          <xm:sqref>E14:E15</xm:sqref>
        </x14:conditionalFormatting>
      </x14:conditionalFormattings>
    </ext>
    <ext xmlns:x14="http://schemas.microsoft.com/office/spreadsheetml/2009/9/main" uri="{CCE6A557-97BC-4b89-ADB6-D9C93CAAB3DF}">
      <x14:dataValidations xmlns:xm="http://schemas.microsoft.com/office/excel/2006/main" count="4">
        <x14:dataValidation type="list" allowBlank="1" showInputMessage="1" showErrorMessage="1" xr:uid="{5F080994-6305-45C3-A529-E9A4504CB718}">
          <x14:formula1>
            <xm:f>Data!$F$31:$F$33</xm:f>
          </x14:formula1>
          <xm:sqref>L46:L138</xm:sqref>
        </x14:dataValidation>
        <x14:dataValidation type="list" allowBlank="1" showInputMessage="1" showErrorMessage="1" xr:uid="{3AD23CAF-817D-4492-ACF5-94F1E7003A18}">
          <x14:formula1>
            <xm:f>Data!$C$36:$C$47</xm:f>
          </x14:formula1>
          <xm:sqref>J46:K138</xm:sqref>
        </x14:dataValidation>
        <x14:dataValidation type="list" allowBlank="1" showInputMessage="1" showErrorMessage="1" xr:uid="{EA632DA3-D587-418C-A047-F7B2115C9C73}">
          <x14:formula1>
            <xm:f>Data!$H$14:$H$15</xm:f>
          </x14:formula1>
          <xm:sqref>I46:I138</xm:sqref>
        </x14:dataValidation>
        <x14:dataValidation type="list" allowBlank="1" showInputMessage="1" showErrorMessage="1" xr:uid="{7F0AB900-1CE8-4E82-95FA-3279CC99EE33}">
          <x14:formula1>
            <xm:f>Data!$J$5:$J$13</xm:f>
          </x14:formula1>
          <xm:sqref>E46:E138</xm:sqref>
        </x14:dataValidation>
      </x14:dataValidations>
    </ext>
    <ext xmlns:x15="http://schemas.microsoft.com/office/spreadsheetml/2010/11/main" uri="{3A4CF648-6AED-40f4-86FF-DC5316D8AED3}">
      <x14:slicerList xmlns:x14="http://schemas.microsoft.com/office/spreadsheetml/2009/9/main">
        <x14:slicer r:id="rId17"/>
      </x14:slicerList>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D0F75-4ADD-4387-A451-C850A77182BB}">
  <sheetPr>
    <tabColor rgb="FF7FBA00"/>
  </sheetPr>
  <dimension ref="A1:K227"/>
  <sheetViews>
    <sheetView showGridLines="0" showRowColHeaders="0" zoomScaleNormal="100" workbookViewId="0">
      <selection activeCell="A6" sqref="A6"/>
    </sheetView>
  </sheetViews>
  <sheetFormatPr defaultColWidth="0" defaultRowHeight="14.45" zeroHeight="1" outlineLevelRow="1"/>
  <cols>
    <col min="1" max="2" width="5.85546875" customWidth="1"/>
    <col min="3" max="3" width="3.85546875" customWidth="1"/>
    <col min="4" max="4" width="44.85546875" style="2" customWidth="1"/>
    <col min="5" max="5" width="3.85546875" customWidth="1"/>
    <col min="6" max="6" width="73.7109375" customWidth="1"/>
    <col min="7" max="7" width="115.42578125" customWidth="1"/>
    <col min="8" max="9" width="3.85546875" customWidth="1"/>
    <col min="10" max="10" width="8.85546875" hidden="1" customWidth="1"/>
    <col min="11" max="11" width="87.140625" hidden="1" customWidth="1"/>
    <col min="12" max="16384" width="8.85546875" hidden="1"/>
  </cols>
  <sheetData>
    <row r="1" spans="1:9" ht="14.45" customHeight="1">
      <c r="A1" s="4"/>
      <c r="B1" s="4"/>
      <c r="C1" s="4"/>
      <c r="D1" s="8"/>
      <c r="E1" s="4"/>
      <c r="F1" s="4"/>
      <c r="G1" s="4"/>
      <c r="H1" s="4"/>
      <c r="I1" s="4"/>
    </row>
    <row r="2" spans="1:9" ht="18.600000000000001" customHeight="1">
      <c r="A2" s="4"/>
      <c r="B2" s="4"/>
      <c r="C2" s="618" t="s">
        <v>940</v>
      </c>
      <c r="D2" s="618"/>
      <c r="E2" s="618"/>
      <c r="F2" s="618"/>
      <c r="G2" s="181"/>
      <c r="H2" s="181"/>
      <c r="I2" s="4"/>
    </row>
    <row r="3" spans="1:9" ht="14.45" customHeight="1">
      <c r="A3" s="4"/>
      <c r="B3" s="4"/>
      <c r="C3" s="628" t="s">
        <v>941</v>
      </c>
      <c r="D3" s="628"/>
      <c r="E3" s="628"/>
      <c r="F3" s="628"/>
      <c r="G3" s="229"/>
      <c r="H3" s="229"/>
      <c r="I3" s="4"/>
    </row>
    <row r="4" spans="1:9" ht="14.45" customHeight="1">
      <c r="A4" s="4"/>
      <c r="B4" s="4"/>
      <c r="C4" s="4"/>
      <c r="D4" s="256"/>
      <c r="E4" s="13"/>
      <c r="F4" s="13"/>
      <c r="G4" s="13"/>
      <c r="H4" s="13"/>
      <c r="I4" s="4"/>
    </row>
    <row r="5" spans="1:9" ht="14.45" customHeight="1">
      <c r="A5" s="4"/>
      <c r="B5" s="4"/>
      <c r="C5" s="7"/>
      <c r="D5" s="54"/>
      <c r="E5" s="54"/>
      <c r="F5" s="54"/>
      <c r="G5" s="54"/>
      <c r="H5" s="54"/>
      <c r="I5" s="4"/>
    </row>
    <row r="6" spans="1:9" ht="14.45" customHeight="1">
      <c r="A6" s="4"/>
      <c r="B6" s="4"/>
      <c r="C6" s="7"/>
      <c r="D6" s="107" t="s">
        <v>890</v>
      </c>
      <c r="E6" s="648" t="s">
        <v>891</v>
      </c>
      <c r="F6" s="648"/>
      <c r="G6" s="241"/>
      <c r="H6" s="54"/>
      <c r="I6" s="4"/>
    </row>
    <row r="7" spans="1:9" ht="14.45" customHeight="1">
      <c r="A7" s="4"/>
      <c r="B7" s="4"/>
      <c r="C7" s="7"/>
      <c r="D7" s="107" t="s">
        <v>892</v>
      </c>
      <c r="E7" s="648" t="s">
        <v>893</v>
      </c>
      <c r="F7" s="648"/>
      <c r="G7" s="241"/>
      <c r="H7" s="54"/>
      <c r="I7" s="4"/>
    </row>
    <row r="8" spans="1:9" ht="14.45" customHeight="1">
      <c r="A8" s="4"/>
      <c r="B8" s="4"/>
      <c r="C8" s="7"/>
      <c r="D8" s="107" t="s">
        <v>117</v>
      </c>
      <c r="E8" s="648" t="s">
        <v>894</v>
      </c>
      <c r="F8" s="648"/>
      <c r="G8" s="241"/>
      <c r="H8" s="54"/>
      <c r="I8" s="4"/>
    </row>
    <row r="9" spans="1:9" ht="14.45" customHeight="1">
      <c r="A9" s="4"/>
      <c r="B9" s="4"/>
      <c r="C9" s="7"/>
      <c r="D9" s="107" t="s">
        <v>822</v>
      </c>
      <c r="E9" s="648"/>
      <c r="F9" s="648"/>
      <c r="G9" s="241"/>
      <c r="H9" s="54"/>
      <c r="I9" s="4"/>
    </row>
    <row r="10" spans="1:9" ht="14.45" customHeight="1">
      <c r="A10" s="4"/>
      <c r="B10" s="4"/>
      <c r="C10" s="7"/>
      <c r="D10" s="107" t="s">
        <v>895</v>
      </c>
      <c r="E10" s="648"/>
      <c r="F10" s="648"/>
      <c r="G10" s="241"/>
      <c r="H10" s="54"/>
      <c r="I10" s="4"/>
    </row>
    <row r="11" spans="1:9" ht="14.45" customHeight="1">
      <c r="A11" s="4"/>
      <c r="B11" s="4"/>
      <c r="C11" s="7"/>
      <c r="D11" s="107" t="s">
        <v>896</v>
      </c>
      <c r="E11" s="648"/>
      <c r="F11" s="648"/>
      <c r="G11" s="241"/>
      <c r="H11" s="54"/>
      <c r="I11" s="4"/>
    </row>
    <row r="12" spans="1:9" ht="14.45" customHeight="1">
      <c r="A12" s="4"/>
      <c r="B12" s="4"/>
      <c r="C12" s="7"/>
      <c r="D12" s="107" t="s">
        <v>477</v>
      </c>
      <c r="E12" s="648"/>
      <c r="F12" s="648"/>
      <c r="G12" s="241"/>
      <c r="H12" s="54"/>
      <c r="I12" s="4"/>
    </row>
    <row r="13" spans="1:9" ht="14.45" customHeight="1">
      <c r="A13" s="4"/>
      <c r="B13" s="4"/>
      <c r="C13" s="7"/>
      <c r="D13" s="107" t="s">
        <v>897</v>
      </c>
      <c r="E13" s="648" t="s">
        <v>317</v>
      </c>
      <c r="F13" s="648"/>
      <c r="G13" s="241"/>
      <c r="H13" s="54"/>
      <c r="I13" s="4"/>
    </row>
    <row r="14" spans="1:9" ht="14.45" customHeight="1">
      <c r="A14" s="4"/>
      <c r="B14" s="4"/>
      <c r="C14" s="7"/>
      <c r="D14" s="107" t="s">
        <v>267</v>
      </c>
      <c r="E14" s="650" t="s">
        <v>328</v>
      </c>
      <c r="F14" s="650"/>
      <c r="G14" s="242"/>
      <c r="H14" s="54"/>
      <c r="I14" s="4"/>
    </row>
    <row r="15" spans="1:9" ht="14.45" customHeight="1">
      <c r="A15" s="4"/>
      <c r="B15" s="4"/>
      <c r="C15" s="7"/>
      <c r="D15" s="107" t="s">
        <v>898</v>
      </c>
      <c r="E15" s="656" t="s">
        <v>899</v>
      </c>
      <c r="F15" s="656"/>
      <c r="G15" s="243"/>
      <c r="H15" s="54"/>
      <c r="I15" s="4"/>
    </row>
    <row r="16" spans="1:9" ht="14.45" customHeight="1">
      <c r="A16" s="4"/>
      <c r="B16" s="4"/>
      <c r="C16" s="7"/>
      <c r="D16" s="107" t="s">
        <v>900</v>
      </c>
      <c r="E16" s="651">
        <v>45020</v>
      </c>
      <c r="F16" s="651"/>
      <c r="G16" s="243"/>
      <c r="H16" s="54"/>
      <c r="I16" s="4"/>
    </row>
    <row r="17" spans="1:9" ht="14.45" customHeight="1">
      <c r="A17" s="4"/>
      <c r="B17" s="4"/>
      <c r="C17" s="7"/>
      <c r="D17" s="107" t="s">
        <v>901</v>
      </c>
      <c r="E17" s="651">
        <v>45386</v>
      </c>
      <c r="F17" s="651"/>
      <c r="G17" s="87"/>
      <c r="H17" s="54"/>
      <c r="I17" s="4"/>
    </row>
    <row r="18" spans="1:9" ht="14.45" customHeight="1">
      <c r="A18" s="4"/>
      <c r="B18" s="4"/>
      <c r="C18" s="7"/>
      <c r="D18" s="107" t="s">
        <v>902</v>
      </c>
      <c r="E18" s="652">
        <v>43160</v>
      </c>
      <c r="F18" s="652"/>
      <c r="G18" s="87"/>
      <c r="H18" s="54"/>
      <c r="I18" s="4"/>
    </row>
    <row r="19" spans="1:9" ht="14.45" customHeight="1">
      <c r="A19" s="4"/>
      <c r="B19" s="4"/>
      <c r="C19" s="7"/>
      <c r="D19" s="107" t="s">
        <v>903</v>
      </c>
      <c r="E19" s="652" t="s">
        <v>904</v>
      </c>
      <c r="F19" s="652"/>
      <c r="G19" s="87"/>
      <c r="H19" s="54"/>
      <c r="I19" s="4"/>
    </row>
    <row r="20" spans="1:9" ht="14.45" customHeight="1">
      <c r="A20" s="4"/>
      <c r="B20" s="4"/>
      <c r="C20" s="7"/>
      <c r="D20" s="107" t="s">
        <v>905</v>
      </c>
      <c r="E20" s="652" t="s">
        <v>906</v>
      </c>
      <c r="F20" s="652"/>
      <c r="G20" s="67"/>
      <c r="H20" s="54"/>
      <c r="I20" s="4"/>
    </row>
    <row r="21" spans="1:9" ht="14.45" customHeight="1">
      <c r="A21" s="4"/>
      <c r="B21" s="4"/>
      <c r="C21" s="7"/>
      <c r="D21" s="108" t="s">
        <v>907</v>
      </c>
      <c r="E21" s="649" t="s">
        <v>908</v>
      </c>
      <c r="F21" s="649"/>
      <c r="G21" s="67"/>
      <c r="H21" s="54"/>
      <c r="I21" s="4"/>
    </row>
    <row r="22" spans="1:9" ht="14.45" customHeight="1">
      <c r="A22" s="4"/>
      <c r="B22" s="4"/>
      <c r="C22" s="7"/>
      <c r="D22" s="54"/>
      <c r="E22" s="54"/>
      <c r="F22" s="160"/>
      <c r="G22" s="160"/>
      <c r="H22" s="54"/>
      <c r="I22" s="4"/>
    </row>
    <row r="23" spans="1:9" ht="14.45" customHeight="1">
      <c r="A23" s="4"/>
      <c r="B23" s="4"/>
      <c r="C23" s="4"/>
      <c r="D23" s="8"/>
      <c r="E23" s="8"/>
      <c r="F23" s="12"/>
      <c r="G23" s="12"/>
      <c r="H23" s="8"/>
      <c r="I23" s="4"/>
    </row>
    <row r="24" spans="1:9" ht="14.45" customHeight="1">
      <c r="A24" s="4"/>
      <c r="B24" s="4"/>
      <c r="C24" s="7"/>
      <c r="D24" s="54"/>
      <c r="E24" s="54"/>
      <c r="F24" s="160"/>
      <c r="G24" s="160"/>
      <c r="H24" s="54"/>
      <c r="I24" s="4"/>
    </row>
    <row r="25" spans="1:9" ht="14.45" customHeight="1">
      <c r="A25" s="4"/>
      <c r="B25" s="4"/>
      <c r="C25" s="7"/>
      <c r="D25" s="18" t="s">
        <v>942</v>
      </c>
      <c r="E25" s="54"/>
      <c r="F25" s="160"/>
      <c r="G25" s="160"/>
      <c r="H25" s="54"/>
      <c r="I25" s="4"/>
    </row>
    <row r="26" spans="1:9" ht="14.45" customHeight="1">
      <c r="A26" s="4"/>
      <c r="B26" s="4"/>
      <c r="C26" s="7"/>
      <c r="D26" s="10" t="s">
        <v>943</v>
      </c>
      <c r="E26" s="54"/>
      <c r="F26" s="160"/>
      <c r="G26" s="160"/>
      <c r="H26" s="54"/>
      <c r="I26" s="4"/>
    </row>
    <row r="27" spans="1:9" ht="14.45" customHeight="1">
      <c r="A27" s="4"/>
      <c r="B27" s="4"/>
      <c r="C27" s="7"/>
      <c r="D27" s="10" t="s">
        <v>944</v>
      </c>
      <c r="E27" s="54"/>
      <c r="F27" s="160"/>
      <c r="G27" s="160"/>
      <c r="H27" s="54"/>
      <c r="I27" s="4"/>
    </row>
    <row r="28" spans="1:9" ht="14.45" customHeight="1">
      <c r="A28" s="4"/>
      <c r="B28" s="4"/>
      <c r="C28" s="7"/>
      <c r="D28" s="10" t="s">
        <v>945</v>
      </c>
      <c r="E28" s="54"/>
      <c r="F28" s="160"/>
      <c r="G28" s="160"/>
      <c r="H28" s="54"/>
      <c r="I28" s="4"/>
    </row>
    <row r="29" spans="1:9" ht="14.45" customHeight="1">
      <c r="A29" s="4"/>
      <c r="B29" s="4"/>
      <c r="C29" s="7"/>
      <c r="D29" s="10" t="s">
        <v>946</v>
      </c>
      <c r="E29" s="54"/>
      <c r="F29" s="160"/>
      <c r="G29" s="160"/>
      <c r="H29" s="54"/>
      <c r="I29" s="4"/>
    </row>
    <row r="30" spans="1:9" ht="14.45" customHeight="1">
      <c r="A30" s="4"/>
      <c r="B30" s="4"/>
      <c r="C30" s="7"/>
      <c r="D30" s="10" t="s">
        <v>947</v>
      </c>
      <c r="E30" s="54"/>
      <c r="F30" s="160"/>
      <c r="G30" s="160"/>
      <c r="H30" s="54"/>
      <c r="I30" s="4"/>
    </row>
    <row r="31" spans="1:9" ht="14.45" customHeight="1">
      <c r="A31" s="4"/>
      <c r="B31" s="4"/>
      <c r="C31" s="7"/>
      <c r="D31" s="10" t="s">
        <v>350</v>
      </c>
      <c r="E31" s="54"/>
      <c r="F31" s="160"/>
      <c r="G31" s="160"/>
      <c r="H31" s="54"/>
      <c r="I31" s="4"/>
    </row>
    <row r="32" spans="1:9" ht="14.45" customHeight="1">
      <c r="A32" s="4"/>
      <c r="B32" s="4"/>
      <c r="C32" s="7"/>
      <c r="D32" s="10" t="s">
        <v>948</v>
      </c>
      <c r="E32" s="54"/>
      <c r="F32" s="160"/>
      <c r="G32" s="160"/>
      <c r="H32" s="54"/>
      <c r="I32" s="4"/>
    </row>
    <row r="33" spans="1:9" ht="14.45" customHeight="1">
      <c r="A33" s="4"/>
      <c r="B33" s="4"/>
      <c r="C33" s="7"/>
      <c r="D33" s="10" t="s">
        <v>949</v>
      </c>
      <c r="E33" s="54"/>
      <c r="F33" s="160"/>
      <c r="G33" s="160"/>
      <c r="H33" s="54"/>
      <c r="I33" s="4"/>
    </row>
    <row r="34" spans="1:9" ht="14.45" customHeight="1">
      <c r="A34" s="4"/>
      <c r="B34" s="4"/>
      <c r="C34" s="7"/>
      <c r="D34" s="10" t="s">
        <v>950</v>
      </c>
      <c r="E34" s="54"/>
      <c r="F34" s="160"/>
      <c r="G34" s="160"/>
      <c r="H34" s="54"/>
      <c r="I34" s="4"/>
    </row>
    <row r="35" spans="1:9" ht="14.45" customHeight="1">
      <c r="A35" s="4"/>
      <c r="B35" s="4"/>
      <c r="C35" s="7"/>
      <c r="D35" s="10" t="s">
        <v>905</v>
      </c>
      <c r="E35" s="54"/>
      <c r="F35" s="160"/>
      <c r="G35" s="160"/>
      <c r="H35" s="54"/>
      <c r="I35" s="4"/>
    </row>
    <row r="36" spans="1:9" ht="14.45" customHeight="1">
      <c r="A36" s="4"/>
      <c r="B36" s="4"/>
      <c r="C36" s="7"/>
      <c r="D36" s="10" t="s">
        <v>951</v>
      </c>
      <c r="E36" s="54"/>
      <c r="F36" s="160"/>
      <c r="G36" s="160"/>
      <c r="H36" s="54"/>
      <c r="I36" s="4"/>
    </row>
    <row r="37" spans="1:9" ht="14.45" customHeight="1">
      <c r="A37" s="4"/>
      <c r="B37" s="4"/>
      <c r="C37" s="7"/>
      <c r="D37" s="10" t="s">
        <v>952</v>
      </c>
      <c r="E37" s="54"/>
      <c r="F37" s="160"/>
      <c r="G37" s="160"/>
      <c r="H37" s="54"/>
      <c r="I37" s="4"/>
    </row>
    <row r="38" spans="1:9" ht="14.45" customHeight="1">
      <c r="A38" s="4"/>
      <c r="B38" s="4"/>
      <c r="C38" s="7"/>
      <c r="D38" s="10" t="s">
        <v>953</v>
      </c>
      <c r="E38" s="54"/>
      <c r="F38" s="160"/>
      <c r="G38" s="160"/>
      <c r="H38" s="54"/>
      <c r="I38" s="4"/>
    </row>
    <row r="39" spans="1:9" ht="14.45" customHeight="1">
      <c r="A39" s="4"/>
      <c r="B39" s="4"/>
      <c r="C39" s="7"/>
      <c r="D39" s="10" t="s">
        <v>954</v>
      </c>
      <c r="E39" s="54"/>
      <c r="F39" s="160"/>
      <c r="G39" s="160"/>
      <c r="H39" s="54"/>
      <c r="I39" s="4"/>
    </row>
    <row r="40" spans="1:9" ht="14.45" customHeight="1">
      <c r="A40" s="4"/>
      <c r="B40" s="4"/>
      <c r="C40" s="7"/>
      <c r="D40" s="10" t="s">
        <v>955</v>
      </c>
      <c r="E40" s="54"/>
      <c r="F40" s="160"/>
      <c r="G40" s="160"/>
      <c r="H40" s="54"/>
      <c r="I40" s="4"/>
    </row>
    <row r="41" spans="1:9" ht="14.45" customHeight="1">
      <c r="A41" s="4"/>
      <c r="B41" s="4"/>
      <c r="C41" s="7"/>
      <c r="D41" s="10" t="s">
        <v>956</v>
      </c>
      <c r="E41" s="54"/>
      <c r="F41" s="160"/>
      <c r="G41" s="160"/>
      <c r="H41" s="54"/>
      <c r="I41" s="4"/>
    </row>
    <row r="42" spans="1:9" ht="14.45" customHeight="1">
      <c r="A42" s="4"/>
      <c r="B42" s="4"/>
      <c r="C42" s="7"/>
      <c r="D42" s="10" t="s">
        <v>957</v>
      </c>
      <c r="E42" s="54"/>
      <c r="F42" s="160"/>
      <c r="G42" s="160"/>
      <c r="H42" s="54"/>
      <c r="I42" s="4"/>
    </row>
    <row r="43" spans="1:9" ht="14.45" customHeight="1">
      <c r="A43" s="4"/>
      <c r="B43" s="4"/>
      <c r="C43" s="7"/>
      <c r="D43" s="10" t="s">
        <v>958</v>
      </c>
      <c r="E43" s="54"/>
      <c r="F43" s="160"/>
      <c r="G43" s="160"/>
      <c r="H43" s="54"/>
      <c r="I43" s="4"/>
    </row>
    <row r="44" spans="1:9" ht="14.45" customHeight="1">
      <c r="A44" s="4"/>
      <c r="B44" s="4"/>
      <c r="C44" s="7"/>
      <c r="D44" s="10" t="s">
        <v>959</v>
      </c>
      <c r="E44" s="54"/>
      <c r="F44" s="160"/>
      <c r="G44" s="160"/>
      <c r="H44" s="54"/>
      <c r="I44" s="4"/>
    </row>
    <row r="45" spans="1:9" ht="14.45" customHeight="1">
      <c r="A45" s="4"/>
      <c r="B45" s="4"/>
      <c r="C45" s="7"/>
      <c r="D45" s="54"/>
      <c r="E45" s="54"/>
      <c r="F45" s="160"/>
      <c r="G45" s="160"/>
      <c r="H45" s="54"/>
      <c r="I45" s="4"/>
    </row>
    <row r="46" spans="1:9" ht="14.45" customHeight="1">
      <c r="A46" s="4"/>
      <c r="B46" s="4"/>
      <c r="C46" s="4"/>
      <c r="D46" s="8"/>
      <c r="E46" s="4"/>
      <c r="F46" s="4"/>
      <c r="G46" s="4"/>
      <c r="H46" s="4"/>
      <c r="I46" s="4"/>
    </row>
    <row r="47" spans="1:9" s="122" customFormat="1" ht="14.45" customHeight="1">
      <c r="A47" s="101"/>
      <c r="B47" s="101"/>
      <c r="C47" s="102" t="s">
        <v>943</v>
      </c>
      <c r="D47" s="103"/>
      <c r="E47" s="101"/>
      <c r="F47" s="101"/>
      <c r="G47" s="101"/>
      <c r="H47" s="101"/>
      <c r="I47" s="101"/>
    </row>
    <row r="48" spans="1:9" ht="14.45" hidden="1" customHeight="1" outlineLevel="1">
      <c r="A48" s="4"/>
      <c r="B48" s="4"/>
      <c r="C48" s="4"/>
      <c r="D48" s="8"/>
      <c r="E48" s="4"/>
      <c r="F48" s="4"/>
      <c r="G48" s="4"/>
      <c r="H48" s="4"/>
      <c r="I48" s="4"/>
    </row>
    <row r="49" spans="1:9" hidden="1" outlineLevel="1">
      <c r="A49" s="4"/>
      <c r="B49" s="4"/>
      <c r="C49" s="4"/>
      <c r="D49" s="2" t="s">
        <v>943</v>
      </c>
      <c r="E49" s="4"/>
      <c r="F49" s="657" t="s">
        <v>960</v>
      </c>
      <c r="G49" s="657"/>
      <c r="H49" s="657"/>
      <c r="I49" s="4"/>
    </row>
    <row r="50" spans="1:9" ht="29.1" hidden="1" outlineLevel="1">
      <c r="A50" s="4"/>
      <c r="B50" s="4"/>
      <c r="C50" s="4"/>
      <c r="D50" s="2" t="s">
        <v>961</v>
      </c>
      <c r="E50" s="4"/>
      <c r="F50" s="657"/>
      <c r="G50" s="657"/>
      <c r="H50" s="657"/>
      <c r="I50" s="4"/>
    </row>
    <row r="51" spans="1:9" ht="43.5" hidden="1" outlineLevel="1">
      <c r="A51" s="4"/>
      <c r="B51" s="4"/>
      <c r="C51" s="4"/>
      <c r="D51" s="2" t="s">
        <v>962</v>
      </c>
      <c r="E51" s="4"/>
      <c r="F51" s="657"/>
      <c r="G51" s="657"/>
      <c r="H51" s="657"/>
      <c r="I51" s="4"/>
    </row>
    <row r="52" spans="1:9" ht="14.45" hidden="1" customHeight="1" outlineLevel="1">
      <c r="A52" s="4"/>
      <c r="B52" s="4"/>
      <c r="C52" s="4"/>
      <c r="D52" s="2" t="s">
        <v>963</v>
      </c>
      <c r="E52" s="4"/>
      <c r="F52" s="657"/>
      <c r="G52" s="657"/>
      <c r="H52" s="657"/>
      <c r="I52" s="4"/>
    </row>
    <row r="53" spans="1:9" ht="14.45" hidden="1" customHeight="1" outlineLevel="1">
      <c r="A53" s="4"/>
      <c r="B53" s="4"/>
      <c r="C53" s="4"/>
      <c r="D53" s="2" t="s">
        <v>964</v>
      </c>
      <c r="E53" s="4"/>
      <c r="F53" s="657"/>
      <c r="G53" s="657"/>
      <c r="H53" s="657"/>
      <c r="I53" s="4"/>
    </row>
    <row r="54" spans="1:9" ht="14.45" hidden="1" customHeight="1" outlineLevel="1">
      <c r="A54" s="4"/>
      <c r="B54" s="4"/>
      <c r="C54" s="4"/>
      <c r="D54" s="2" t="s">
        <v>965</v>
      </c>
      <c r="E54" s="4"/>
      <c r="F54" s="657"/>
      <c r="G54" s="657"/>
      <c r="H54" s="657"/>
      <c r="I54" s="4"/>
    </row>
    <row r="55" spans="1:9" ht="14.45" customHeight="1" collapsed="1">
      <c r="A55" s="4"/>
      <c r="B55" s="4"/>
      <c r="C55" s="4"/>
      <c r="D55" s="8"/>
      <c r="E55" s="4"/>
      <c r="F55" s="4"/>
      <c r="G55" s="4"/>
      <c r="H55" s="4"/>
      <c r="I55" s="4"/>
    </row>
    <row r="56" spans="1:9" s="122" customFormat="1" ht="14.45" customHeight="1">
      <c r="A56" s="101"/>
      <c r="B56" s="101"/>
      <c r="C56" s="102" t="s">
        <v>944</v>
      </c>
      <c r="D56" s="103"/>
      <c r="E56" s="101"/>
      <c r="F56" s="101"/>
      <c r="G56" s="101"/>
      <c r="H56" s="101"/>
      <c r="I56" s="101"/>
    </row>
    <row r="57" spans="1:9" ht="14.45" customHeight="1" outlineLevel="1">
      <c r="A57" s="4"/>
      <c r="B57" s="4"/>
      <c r="C57" s="4"/>
      <c r="D57" s="8"/>
      <c r="E57" s="4"/>
      <c r="F57" s="4"/>
      <c r="G57" s="4"/>
      <c r="H57" s="4"/>
      <c r="I57" s="4"/>
    </row>
    <row r="58" spans="1:9" ht="14.45" customHeight="1" outlineLevel="1">
      <c r="A58" s="4"/>
      <c r="B58" s="4"/>
      <c r="C58" s="4"/>
      <c r="D58" s="2" t="s">
        <v>944</v>
      </c>
      <c r="E58" s="4"/>
      <c r="F58" s="657" t="s">
        <v>966</v>
      </c>
      <c r="G58" s="657"/>
      <c r="H58" s="657"/>
      <c r="I58" s="4"/>
    </row>
    <row r="59" spans="1:9" ht="14.45" customHeight="1" outlineLevel="1">
      <c r="A59" s="4"/>
      <c r="B59" s="4"/>
      <c r="C59" s="4"/>
      <c r="D59" s="257" t="s">
        <v>967</v>
      </c>
      <c r="E59" s="4"/>
      <c r="F59" s="657"/>
      <c r="G59" s="657"/>
      <c r="H59" s="657"/>
      <c r="I59" s="4"/>
    </row>
    <row r="60" spans="1:9" ht="14.45" customHeight="1" outlineLevel="1">
      <c r="A60" s="4"/>
      <c r="B60" s="4"/>
      <c r="C60" s="4"/>
      <c r="D60" s="258" t="s">
        <v>968</v>
      </c>
      <c r="E60" s="220"/>
      <c r="F60" s="657"/>
      <c r="G60" s="657"/>
      <c r="H60" s="657"/>
      <c r="I60" s="4"/>
    </row>
    <row r="61" spans="1:9" outlineLevel="1">
      <c r="A61" s="4"/>
      <c r="B61" s="4"/>
      <c r="C61" s="4"/>
      <c r="D61" s="258" t="s">
        <v>969</v>
      </c>
      <c r="E61" s="220"/>
      <c r="F61" s="657"/>
      <c r="G61" s="657"/>
      <c r="H61" s="657"/>
      <c r="I61" s="4"/>
    </row>
    <row r="62" spans="1:9" outlineLevel="1">
      <c r="A62" s="4"/>
      <c r="B62" s="4"/>
      <c r="C62" s="4"/>
      <c r="D62" s="98" t="s">
        <v>970</v>
      </c>
      <c r="E62" s="4"/>
      <c r="F62" s="657"/>
      <c r="G62" s="657"/>
      <c r="H62" s="657"/>
      <c r="I62" s="4"/>
    </row>
    <row r="63" spans="1:9" outlineLevel="1">
      <c r="A63" s="4"/>
      <c r="B63" s="4"/>
      <c r="C63" s="4"/>
      <c r="D63" s="98" t="s">
        <v>971</v>
      </c>
      <c r="E63" s="4"/>
      <c r="F63" s="657"/>
      <c r="G63" s="657"/>
      <c r="H63" s="657"/>
      <c r="I63" s="4"/>
    </row>
    <row r="64" spans="1:9" outlineLevel="1">
      <c r="A64" s="4"/>
      <c r="B64" s="4"/>
      <c r="C64" s="4"/>
      <c r="D64" s="98" t="s">
        <v>972</v>
      </c>
      <c r="E64" s="4"/>
      <c r="F64" s="657"/>
      <c r="G64" s="657"/>
      <c r="H64" s="657"/>
      <c r="I64" s="4"/>
    </row>
    <row r="65" spans="1:9" outlineLevel="1">
      <c r="A65" s="4"/>
      <c r="B65" s="4"/>
      <c r="C65" s="4"/>
      <c r="D65" s="259" t="s">
        <v>973</v>
      </c>
      <c r="E65" s="4"/>
      <c r="F65" s="657"/>
      <c r="G65" s="657"/>
      <c r="H65" s="657"/>
      <c r="I65" s="4"/>
    </row>
    <row r="66" spans="1:9" ht="14.45" customHeight="1">
      <c r="A66" s="4"/>
      <c r="B66" s="4"/>
      <c r="C66" s="4"/>
      <c r="D66" s="8"/>
      <c r="E66" s="4"/>
      <c r="F66" s="4"/>
      <c r="G66" s="4"/>
      <c r="H66" s="4"/>
      <c r="I66" s="4"/>
    </row>
    <row r="67" spans="1:9" s="122" customFormat="1" ht="14.45" customHeight="1">
      <c r="A67" s="101"/>
      <c r="B67" s="101"/>
      <c r="C67" s="102" t="s">
        <v>945</v>
      </c>
      <c r="D67" s="103"/>
      <c r="E67" s="101"/>
      <c r="F67" s="101"/>
      <c r="G67" s="101"/>
      <c r="H67" s="101"/>
      <c r="I67" s="101"/>
    </row>
    <row r="68" spans="1:9" outlineLevel="1">
      <c r="A68" s="4"/>
      <c r="B68" s="4"/>
      <c r="C68" s="4"/>
      <c r="D68" s="8"/>
      <c r="E68" s="4"/>
      <c r="F68" s="4"/>
      <c r="G68" s="4"/>
      <c r="H68" s="4"/>
      <c r="I68" s="4"/>
    </row>
    <row r="69" spans="1:9" outlineLevel="1">
      <c r="A69" s="4"/>
      <c r="B69" s="4"/>
      <c r="C69" s="4"/>
      <c r="D69" s="2" t="s">
        <v>945</v>
      </c>
      <c r="E69" s="4"/>
      <c r="F69" s="658" t="s">
        <v>974</v>
      </c>
      <c r="G69" s="658"/>
      <c r="H69" s="658"/>
      <c r="I69" s="4"/>
    </row>
    <row r="70" spans="1:9" outlineLevel="1">
      <c r="A70" s="4"/>
      <c r="B70" s="4"/>
      <c r="C70" s="4"/>
      <c r="D70" s="2" t="s">
        <v>975</v>
      </c>
      <c r="E70" s="4"/>
      <c r="F70" s="658"/>
      <c r="G70" s="658"/>
      <c r="H70" s="658"/>
      <c r="I70" s="4"/>
    </row>
    <row r="71" spans="1:9" outlineLevel="1">
      <c r="A71" s="4"/>
      <c r="B71" s="4"/>
      <c r="C71" s="4"/>
      <c r="D71" s="2" t="s">
        <v>976</v>
      </c>
      <c r="E71" s="4"/>
      <c r="F71" s="658"/>
      <c r="G71" s="658"/>
      <c r="H71" s="658"/>
      <c r="I71" s="4"/>
    </row>
    <row r="72" spans="1:9" outlineLevel="1">
      <c r="A72" s="4"/>
      <c r="B72" s="4"/>
      <c r="C72" s="4"/>
      <c r="D72" s="2" t="s">
        <v>977</v>
      </c>
      <c r="E72" s="4"/>
      <c r="F72" s="658"/>
      <c r="G72" s="658"/>
      <c r="H72" s="658"/>
      <c r="I72" s="4"/>
    </row>
    <row r="73" spans="1:9" outlineLevel="1">
      <c r="A73" s="4"/>
      <c r="B73" s="4"/>
      <c r="C73" s="4"/>
      <c r="D73" s="2" t="s">
        <v>978</v>
      </c>
      <c r="E73" s="4"/>
      <c r="F73" s="658"/>
      <c r="G73" s="658"/>
      <c r="H73" s="658"/>
      <c r="I73" s="4"/>
    </row>
    <row r="74" spans="1:9" outlineLevel="1">
      <c r="A74" s="4"/>
      <c r="B74" s="4"/>
      <c r="C74" s="4"/>
      <c r="D74" s="2" t="s">
        <v>979</v>
      </c>
      <c r="E74" s="4"/>
      <c r="F74" s="658"/>
      <c r="G74" s="658"/>
      <c r="H74" s="658"/>
      <c r="I74" s="4"/>
    </row>
    <row r="75" spans="1:9" outlineLevel="1">
      <c r="A75" s="4"/>
      <c r="B75" s="4"/>
      <c r="C75" s="4"/>
      <c r="D75" s="2" t="s">
        <v>980</v>
      </c>
      <c r="E75" s="4"/>
      <c r="F75" s="658"/>
      <c r="G75" s="658"/>
      <c r="H75" s="658"/>
      <c r="I75" s="4"/>
    </row>
    <row r="76" spans="1:9" outlineLevel="1">
      <c r="A76" s="4"/>
      <c r="B76" s="4"/>
      <c r="C76" s="4"/>
      <c r="D76" s="249" t="s">
        <v>981</v>
      </c>
      <c r="E76" s="255"/>
      <c r="F76" s="658"/>
      <c r="G76" s="658"/>
      <c r="H76" s="658"/>
      <c r="I76" s="4"/>
    </row>
    <row r="77" spans="1:9" outlineLevel="1">
      <c r="A77" s="4"/>
      <c r="B77" s="4"/>
      <c r="C77" s="4"/>
      <c r="D77" s="2" t="s">
        <v>982</v>
      </c>
      <c r="E77" s="4"/>
      <c r="F77" s="658"/>
      <c r="G77" s="658"/>
      <c r="H77" s="658"/>
      <c r="I77" s="4"/>
    </row>
    <row r="78" spans="1:9" outlineLevel="1">
      <c r="A78" s="4"/>
      <c r="B78" s="4"/>
      <c r="C78" s="4"/>
      <c r="D78" s="2" t="s">
        <v>983</v>
      </c>
      <c r="E78" s="4"/>
      <c r="F78" s="658"/>
      <c r="G78" s="658"/>
      <c r="H78" s="658"/>
      <c r="I78" s="4"/>
    </row>
    <row r="79" spans="1:9" outlineLevel="1">
      <c r="A79" s="4"/>
      <c r="B79" s="4"/>
      <c r="C79" s="4"/>
      <c r="D79" s="2" t="s">
        <v>984</v>
      </c>
      <c r="E79" s="4"/>
      <c r="F79" s="658"/>
      <c r="G79" s="658"/>
      <c r="H79" s="658"/>
      <c r="I79" s="4"/>
    </row>
    <row r="80" spans="1:9" outlineLevel="1">
      <c r="A80" s="4"/>
      <c r="B80" s="4"/>
      <c r="C80" s="4"/>
      <c r="D80" s="2" t="s">
        <v>985</v>
      </c>
      <c r="E80" s="8"/>
      <c r="F80" s="658"/>
      <c r="G80" s="658"/>
      <c r="H80" s="658"/>
      <c r="I80" s="4"/>
    </row>
    <row r="81" spans="1:9" outlineLevel="1">
      <c r="A81" s="4"/>
      <c r="B81" s="4"/>
      <c r="C81" s="4"/>
      <c r="D81" s="2" t="s">
        <v>986</v>
      </c>
      <c r="E81" s="8"/>
      <c r="F81" s="658"/>
      <c r="G81" s="658"/>
      <c r="H81" s="658"/>
      <c r="I81" s="4"/>
    </row>
    <row r="82" spans="1:9" ht="14.45" customHeight="1">
      <c r="A82" s="4"/>
      <c r="B82" s="4"/>
      <c r="C82" s="4"/>
      <c r="D82" s="8"/>
      <c r="E82" s="4"/>
      <c r="F82" s="4"/>
      <c r="G82" s="4"/>
      <c r="H82" s="4"/>
      <c r="I82" s="4"/>
    </row>
    <row r="83" spans="1:9" s="122" customFormat="1" ht="14.45" customHeight="1">
      <c r="A83" s="101"/>
      <c r="B83" s="101"/>
      <c r="C83" s="102" t="s">
        <v>946</v>
      </c>
      <c r="D83" s="103"/>
      <c r="E83" s="101"/>
      <c r="F83" s="101"/>
      <c r="G83" s="101"/>
      <c r="H83" s="101"/>
      <c r="I83" s="101"/>
    </row>
    <row r="84" spans="1:9" outlineLevel="1">
      <c r="A84" s="4"/>
      <c r="B84" s="4"/>
      <c r="C84" s="4"/>
      <c r="D84" s="8"/>
      <c r="E84" s="4"/>
      <c r="F84" s="4"/>
      <c r="G84" s="4"/>
      <c r="H84" s="4"/>
      <c r="I84" s="4"/>
    </row>
    <row r="85" spans="1:9" outlineLevel="1">
      <c r="A85" s="4"/>
      <c r="B85" s="4"/>
      <c r="C85" s="4"/>
      <c r="D85" s="2" t="s">
        <v>946</v>
      </c>
      <c r="E85" s="4"/>
      <c r="F85" s="658" t="s">
        <v>987</v>
      </c>
      <c r="G85" s="658"/>
      <c r="H85" s="658"/>
      <c r="I85" s="4"/>
    </row>
    <row r="86" spans="1:9" ht="29.1" outlineLevel="1">
      <c r="A86" s="4"/>
      <c r="B86" s="4"/>
      <c r="C86" s="4"/>
      <c r="D86" s="2" t="s">
        <v>988</v>
      </c>
      <c r="E86" s="4"/>
      <c r="F86" s="658"/>
      <c r="G86" s="658"/>
      <c r="H86" s="658"/>
      <c r="I86" s="4"/>
    </row>
    <row r="87" spans="1:9" outlineLevel="1">
      <c r="A87" s="4"/>
      <c r="B87" s="4"/>
      <c r="C87" s="4"/>
      <c r="D87" s="2" t="s">
        <v>989</v>
      </c>
      <c r="E87" s="4"/>
      <c r="F87" s="658"/>
      <c r="G87" s="658"/>
      <c r="H87" s="658"/>
      <c r="I87" s="4"/>
    </row>
    <row r="88" spans="1:9" outlineLevel="1">
      <c r="A88" s="4"/>
      <c r="B88" s="4"/>
      <c r="C88" s="4"/>
      <c r="D88" s="2" t="s">
        <v>990</v>
      </c>
      <c r="E88" s="4"/>
      <c r="F88" s="658"/>
      <c r="G88" s="658"/>
      <c r="H88" s="658"/>
      <c r="I88" s="4"/>
    </row>
    <row r="89" spans="1:9" outlineLevel="1">
      <c r="A89" s="4"/>
      <c r="B89" s="4"/>
      <c r="C89" s="4"/>
      <c r="D89" s="2" t="s">
        <v>991</v>
      </c>
      <c r="E89" s="4"/>
      <c r="F89" s="658"/>
      <c r="G89" s="658"/>
      <c r="H89" s="658"/>
      <c r="I89" s="4"/>
    </row>
    <row r="90" spans="1:9" outlineLevel="1">
      <c r="A90" s="4"/>
      <c r="B90" s="4"/>
      <c r="C90" s="4"/>
      <c r="D90" s="2" t="s">
        <v>992</v>
      </c>
      <c r="E90" s="4"/>
      <c r="F90" s="658"/>
      <c r="G90" s="658"/>
      <c r="H90" s="658"/>
      <c r="I90" s="4"/>
    </row>
    <row r="91" spans="1:9" outlineLevel="1">
      <c r="A91" s="4"/>
      <c r="B91" s="4"/>
      <c r="C91" s="4"/>
      <c r="D91" s="2" t="s">
        <v>986</v>
      </c>
      <c r="E91" s="4"/>
      <c r="F91" s="658"/>
      <c r="G91" s="658"/>
      <c r="H91" s="658"/>
      <c r="I91" s="4"/>
    </row>
    <row r="92" spans="1:9" ht="14.45" customHeight="1">
      <c r="A92" s="4"/>
      <c r="B92" s="4"/>
      <c r="C92" s="4"/>
      <c r="D92" s="8"/>
      <c r="E92" s="4"/>
      <c r="F92" s="4"/>
      <c r="G92" s="4"/>
      <c r="H92" s="4"/>
      <c r="I92" s="4"/>
    </row>
    <row r="93" spans="1:9" s="122" customFormat="1" ht="14.45" customHeight="1">
      <c r="A93" s="101"/>
      <c r="B93" s="101"/>
      <c r="C93" s="102" t="s">
        <v>947</v>
      </c>
      <c r="D93" s="103"/>
      <c r="E93" s="101"/>
      <c r="F93" s="101"/>
      <c r="G93" s="101"/>
      <c r="H93" s="101"/>
      <c r="I93" s="101"/>
    </row>
    <row r="94" spans="1:9" outlineLevel="1">
      <c r="A94" s="4"/>
      <c r="B94" s="4"/>
      <c r="C94" s="4"/>
      <c r="D94" s="8"/>
      <c r="E94" s="4"/>
      <c r="F94" s="4"/>
      <c r="G94" s="4"/>
      <c r="H94" s="4"/>
      <c r="I94" s="4"/>
    </row>
    <row r="95" spans="1:9" outlineLevel="1">
      <c r="A95" s="4"/>
      <c r="B95" s="4"/>
      <c r="C95" s="4"/>
      <c r="D95" s="2" t="s">
        <v>947</v>
      </c>
      <c r="E95" s="4"/>
      <c r="F95" s="658" t="s">
        <v>993</v>
      </c>
      <c r="G95" s="658"/>
      <c r="H95" s="658"/>
      <c r="I95" s="4"/>
    </row>
    <row r="96" spans="1:9" outlineLevel="1">
      <c r="A96" s="4"/>
      <c r="B96" s="4"/>
      <c r="C96" s="4"/>
      <c r="D96" s="2" t="s">
        <v>985</v>
      </c>
      <c r="E96" s="4"/>
      <c r="F96" s="658"/>
      <c r="G96" s="658"/>
      <c r="H96" s="658"/>
      <c r="I96" s="4"/>
    </row>
    <row r="97" spans="1:9" ht="14.45" customHeight="1">
      <c r="A97" s="4"/>
      <c r="B97" s="4"/>
      <c r="C97" s="4"/>
      <c r="D97" s="8"/>
      <c r="E97" s="4"/>
      <c r="F97" s="4"/>
      <c r="G97" s="4"/>
      <c r="H97" s="4"/>
      <c r="I97" s="4"/>
    </row>
    <row r="98" spans="1:9" s="122" customFormat="1" ht="14.45" customHeight="1">
      <c r="A98" s="101"/>
      <c r="B98" s="101"/>
      <c r="C98" s="102" t="s">
        <v>350</v>
      </c>
      <c r="D98" s="103"/>
      <c r="E98" s="101"/>
      <c r="F98" s="101"/>
      <c r="G98" s="101"/>
      <c r="H98" s="101"/>
      <c r="I98" s="101"/>
    </row>
    <row r="99" spans="1:9" hidden="1" outlineLevel="1">
      <c r="A99" s="4"/>
      <c r="B99" s="4"/>
      <c r="C99" s="4"/>
      <c r="D99" s="8"/>
      <c r="E99" s="4"/>
      <c r="F99" s="4"/>
      <c r="G99" s="4"/>
      <c r="H99" s="4"/>
      <c r="I99" s="4"/>
    </row>
    <row r="100" spans="1:9" ht="14.45" hidden="1" customHeight="1" outlineLevel="1">
      <c r="A100" s="4"/>
      <c r="B100" s="4"/>
      <c r="C100" s="4"/>
      <c r="D100" s="2" t="s">
        <v>350</v>
      </c>
      <c r="E100" s="4"/>
      <c r="F100" s="658" t="s">
        <v>994</v>
      </c>
      <c r="G100" s="658"/>
      <c r="H100" s="658"/>
      <c r="I100" s="4"/>
    </row>
    <row r="101" spans="1:9" hidden="1" outlineLevel="1">
      <c r="A101" s="4"/>
      <c r="B101" s="4"/>
      <c r="C101" s="4"/>
      <c r="D101" s="2" t="s">
        <v>995</v>
      </c>
      <c r="E101" s="4"/>
      <c r="F101" s="658"/>
      <c r="G101" s="658"/>
      <c r="H101" s="658"/>
      <c r="I101" s="4"/>
    </row>
    <row r="102" spans="1:9" hidden="1" outlineLevel="1">
      <c r="A102" s="4"/>
      <c r="B102" s="4"/>
      <c r="C102" s="4"/>
      <c r="D102" s="2" t="s">
        <v>996</v>
      </c>
      <c r="E102" s="4"/>
      <c r="F102" s="658"/>
      <c r="G102" s="658"/>
      <c r="H102" s="658"/>
      <c r="I102" s="4"/>
    </row>
    <row r="103" spans="1:9" ht="14.45" customHeight="1" collapsed="1">
      <c r="A103" s="4"/>
      <c r="B103" s="4"/>
      <c r="C103" s="4"/>
      <c r="D103" s="8"/>
      <c r="E103" s="4"/>
      <c r="F103" s="4"/>
      <c r="G103" s="4"/>
      <c r="H103" s="4"/>
      <c r="I103" s="4"/>
    </row>
    <row r="104" spans="1:9" s="122" customFormat="1" ht="14.45" customHeight="1">
      <c r="A104" s="101"/>
      <c r="B104" s="101"/>
      <c r="C104" s="102" t="s">
        <v>948</v>
      </c>
      <c r="D104" s="103"/>
      <c r="E104" s="101"/>
      <c r="F104" s="101"/>
      <c r="G104" s="101"/>
      <c r="H104" s="101"/>
      <c r="I104" s="101"/>
    </row>
    <row r="105" spans="1:9" hidden="1" outlineLevel="1">
      <c r="A105" s="4"/>
      <c r="B105" s="4"/>
      <c r="C105" s="4"/>
      <c r="D105" s="8"/>
      <c r="E105" s="4"/>
      <c r="F105" s="4"/>
      <c r="G105" s="4"/>
      <c r="H105" s="4"/>
      <c r="I105" s="4"/>
    </row>
    <row r="106" spans="1:9" ht="14.45" hidden="1" customHeight="1" outlineLevel="1">
      <c r="A106" s="4"/>
      <c r="B106" s="4"/>
      <c r="C106" s="4"/>
      <c r="D106" s="2" t="s">
        <v>948</v>
      </c>
      <c r="E106" s="4"/>
      <c r="F106" s="658" t="s">
        <v>997</v>
      </c>
      <c r="G106" s="658"/>
      <c r="H106" s="658"/>
      <c r="I106" s="4"/>
    </row>
    <row r="107" spans="1:9" hidden="1" outlineLevel="1">
      <c r="A107" s="4"/>
      <c r="B107" s="4"/>
      <c r="C107" s="4"/>
      <c r="D107" s="2" t="s">
        <v>998</v>
      </c>
      <c r="E107" s="4"/>
      <c r="F107" s="658"/>
      <c r="G107" s="658"/>
      <c r="H107" s="658"/>
      <c r="I107" s="4"/>
    </row>
    <row r="108" spans="1:9" hidden="1" outlineLevel="1">
      <c r="A108" s="4"/>
      <c r="B108" s="4"/>
      <c r="C108" s="4"/>
      <c r="D108" s="2" t="s">
        <v>999</v>
      </c>
      <c r="E108" s="4"/>
      <c r="F108" s="658"/>
      <c r="G108" s="658"/>
      <c r="H108" s="658"/>
      <c r="I108" s="4"/>
    </row>
    <row r="109" spans="1:9" hidden="1" outlineLevel="1">
      <c r="A109" s="4"/>
      <c r="B109" s="4"/>
      <c r="C109" s="4"/>
      <c r="D109" s="2" t="s">
        <v>1000</v>
      </c>
      <c r="E109" s="4"/>
      <c r="F109" s="658"/>
      <c r="G109" s="658"/>
      <c r="H109" s="658"/>
      <c r="I109" s="4"/>
    </row>
    <row r="110" spans="1:9" hidden="1" outlineLevel="1">
      <c r="A110" s="4"/>
      <c r="B110" s="4"/>
      <c r="C110" s="4"/>
      <c r="D110" s="2" t="s">
        <v>1001</v>
      </c>
      <c r="E110" s="4"/>
      <c r="F110" s="658"/>
      <c r="G110" s="658"/>
      <c r="H110" s="658"/>
      <c r="I110" s="4"/>
    </row>
    <row r="111" spans="1:9" ht="14.45" customHeight="1" collapsed="1">
      <c r="A111" s="4"/>
      <c r="B111" s="4"/>
      <c r="C111" s="4"/>
      <c r="D111" s="8"/>
      <c r="E111" s="4"/>
      <c r="F111" s="4"/>
      <c r="G111" s="4"/>
      <c r="H111" s="4"/>
      <c r="I111" s="4"/>
    </row>
    <row r="112" spans="1:9" s="122" customFormat="1" ht="14.45" customHeight="1">
      <c r="A112" s="101"/>
      <c r="B112" s="101"/>
      <c r="C112" s="102" t="s">
        <v>949</v>
      </c>
      <c r="D112" s="103"/>
      <c r="E112" s="101"/>
      <c r="F112" s="101"/>
      <c r="G112" s="101"/>
      <c r="H112" s="101"/>
      <c r="I112" s="101"/>
    </row>
    <row r="113" spans="1:9" hidden="1" outlineLevel="1">
      <c r="A113" s="4"/>
      <c r="B113" s="4"/>
      <c r="C113" s="4"/>
      <c r="D113" s="8"/>
      <c r="E113" s="4"/>
      <c r="F113" s="4"/>
      <c r="G113" s="4"/>
      <c r="H113" s="4"/>
      <c r="I113" s="4"/>
    </row>
    <row r="114" spans="1:9" hidden="1" outlineLevel="1">
      <c r="A114" s="4"/>
      <c r="B114" s="4"/>
      <c r="C114" s="4"/>
      <c r="D114" s="2" t="s">
        <v>949</v>
      </c>
      <c r="E114" s="4"/>
      <c r="F114" s="658" t="s">
        <v>1002</v>
      </c>
      <c r="G114" s="658"/>
      <c r="H114" s="658"/>
      <c r="I114" s="4"/>
    </row>
    <row r="115" spans="1:9" hidden="1" outlineLevel="1">
      <c r="A115" s="4"/>
      <c r="B115" s="4"/>
      <c r="C115" s="4"/>
      <c r="D115" s="2" t="s">
        <v>1003</v>
      </c>
      <c r="E115" s="4"/>
      <c r="F115" s="658"/>
      <c r="G115" s="658"/>
      <c r="H115" s="658"/>
      <c r="I115" s="4"/>
    </row>
    <row r="116" spans="1:9" hidden="1" outlineLevel="1">
      <c r="A116" s="4"/>
      <c r="B116" s="4"/>
      <c r="C116" s="4"/>
      <c r="D116" s="2" t="s">
        <v>607</v>
      </c>
      <c r="E116" s="4"/>
      <c r="F116" s="658"/>
      <c r="G116" s="658"/>
      <c r="H116" s="658"/>
      <c r="I116" s="4"/>
    </row>
    <row r="117" spans="1:9" hidden="1" outlineLevel="1">
      <c r="A117" s="4"/>
      <c r="B117" s="4"/>
      <c r="C117" s="4"/>
      <c r="D117" s="2" t="s">
        <v>136</v>
      </c>
      <c r="E117" s="4"/>
      <c r="F117" s="658"/>
      <c r="G117" s="658"/>
      <c r="H117" s="658"/>
      <c r="I117" s="4"/>
    </row>
    <row r="118" spans="1:9" hidden="1" outlineLevel="1">
      <c r="A118" s="4"/>
      <c r="B118" s="4"/>
      <c r="C118" s="4"/>
      <c r="D118" s="2" t="s">
        <v>140</v>
      </c>
      <c r="E118" s="4"/>
      <c r="F118" s="658"/>
      <c r="G118" s="658"/>
      <c r="H118" s="658"/>
      <c r="I118" s="4"/>
    </row>
    <row r="119" spans="1:9" hidden="1" outlineLevel="1">
      <c r="A119" s="4"/>
      <c r="B119" s="4"/>
      <c r="C119" s="4"/>
      <c r="D119" s="2" t="s">
        <v>1004</v>
      </c>
      <c r="E119" s="4"/>
      <c r="F119" s="658"/>
      <c r="G119" s="658"/>
      <c r="H119" s="658"/>
      <c r="I119" s="4"/>
    </row>
    <row r="120" spans="1:9" hidden="1" outlineLevel="1">
      <c r="A120" s="4"/>
      <c r="B120" s="4"/>
      <c r="C120" s="4"/>
      <c r="D120" s="2" t="s">
        <v>1005</v>
      </c>
      <c r="E120" s="4"/>
      <c r="F120" s="658"/>
      <c r="G120" s="658"/>
      <c r="H120" s="658"/>
      <c r="I120" s="4"/>
    </row>
    <row r="121" spans="1:9" hidden="1" outlineLevel="1">
      <c r="A121" s="4"/>
      <c r="B121" s="4"/>
      <c r="C121" s="4"/>
      <c r="D121" s="2" t="s">
        <v>358</v>
      </c>
      <c r="E121" s="4"/>
      <c r="F121" s="658"/>
      <c r="G121" s="658"/>
      <c r="H121" s="658"/>
      <c r="I121" s="4"/>
    </row>
    <row r="122" spans="1:9" hidden="1" outlineLevel="1">
      <c r="A122" s="4"/>
      <c r="B122" s="4"/>
      <c r="C122" s="4"/>
      <c r="D122" s="2" t="s">
        <v>247</v>
      </c>
      <c r="E122" s="4"/>
      <c r="F122" s="658"/>
      <c r="G122" s="658"/>
      <c r="H122" s="658"/>
      <c r="I122" s="4"/>
    </row>
    <row r="123" spans="1:9" hidden="1" outlineLevel="1">
      <c r="A123" s="4"/>
      <c r="B123" s="4"/>
      <c r="C123" s="4"/>
      <c r="D123" s="2" t="s">
        <v>1006</v>
      </c>
      <c r="E123" s="4"/>
      <c r="F123" s="658"/>
      <c r="G123" s="658"/>
      <c r="H123" s="658"/>
      <c r="I123" s="4"/>
    </row>
    <row r="124" spans="1:9" hidden="1" outlineLevel="1">
      <c r="A124" s="4"/>
      <c r="B124" s="4"/>
      <c r="C124" s="4"/>
      <c r="D124" s="2" t="s">
        <v>1007</v>
      </c>
      <c r="E124" s="4"/>
      <c r="F124" s="658"/>
      <c r="G124" s="658"/>
      <c r="H124" s="658"/>
      <c r="I124" s="4"/>
    </row>
    <row r="125" spans="1:9" ht="14.45" customHeight="1" collapsed="1">
      <c r="A125" s="4"/>
      <c r="B125" s="4"/>
      <c r="C125" s="4"/>
      <c r="D125" s="8"/>
      <c r="E125" s="4"/>
      <c r="F125" s="4"/>
      <c r="G125" s="4"/>
      <c r="H125" s="4"/>
      <c r="I125" s="4"/>
    </row>
    <row r="126" spans="1:9" s="122" customFormat="1" ht="14.45" customHeight="1">
      <c r="A126" s="101"/>
      <c r="B126" s="101"/>
      <c r="C126" s="102" t="s">
        <v>950</v>
      </c>
      <c r="D126" s="103"/>
      <c r="E126" s="101"/>
      <c r="F126" s="101"/>
      <c r="G126" s="101"/>
      <c r="H126" s="101"/>
      <c r="I126" s="101"/>
    </row>
    <row r="127" spans="1:9" hidden="1" outlineLevel="1">
      <c r="A127" s="4"/>
      <c r="B127" s="4"/>
      <c r="C127" s="4"/>
      <c r="D127" s="8"/>
      <c r="E127" s="4"/>
      <c r="F127" s="4"/>
      <c r="G127" s="4"/>
      <c r="H127" s="4"/>
      <c r="I127" s="4"/>
    </row>
    <row r="128" spans="1:9" hidden="1" outlineLevel="1">
      <c r="A128" s="4"/>
      <c r="B128" s="4"/>
      <c r="C128" s="4"/>
      <c r="D128" s="2" t="s">
        <v>950</v>
      </c>
      <c r="E128" s="4"/>
      <c r="F128" s="657" t="s">
        <v>1008</v>
      </c>
      <c r="G128" s="657"/>
      <c r="H128" s="657"/>
      <c r="I128" s="4"/>
    </row>
    <row r="129" spans="1:9" ht="29.1" hidden="1" outlineLevel="1">
      <c r="A129" s="4"/>
      <c r="B129" s="4"/>
      <c r="C129" s="4"/>
      <c r="D129" s="2" t="s">
        <v>1009</v>
      </c>
      <c r="E129" s="4"/>
      <c r="F129" s="657"/>
      <c r="G129" s="657"/>
      <c r="H129" s="657"/>
      <c r="I129" s="4"/>
    </row>
    <row r="130" spans="1:9" hidden="1" outlineLevel="1">
      <c r="A130" s="4"/>
      <c r="B130" s="4"/>
      <c r="C130" s="4"/>
      <c r="D130" s="2" t="s">
        <v>1010</v>
      </c>
      <c r="E130" s="4"/>
      <c r="F130" s="657"/>
      <c r="G130" s="657"/>
      <c r="H130" s="657"/>
      <c r="I130" s="4"/>
    </row>
    <row r="131" spans="1:9" ht="29.1" hidden="1" outlineLevel="1">
      <c r="A131" s="4"/>
      <c r="B131" s="4"/>
      <c r="C131" s="4"/>
      <c r="D131" s="2" t="s">
        <v>1011</v>
      </c>
      <c r="E131" s="4"/>
      <c r="F131" s="657"/>
      <c r="G131" s="657"/>
      <c r="H131" s="657"/>
      <c r="I131" s="4"/>
    </row>
    <row r="132" spans="1:9" ht="29.1" hidden="1" outlineLevel="1">
      <c r="A132" s="4"/>
      <c r="B132" s="4"/>
      <c r="C132" s="4"/>
      <c r="D132" s="2" t="s">
        <v>1012</v>
      </c>
      <c r="E132" s="4"/>
      <c r="F132" s="657"/>
      <c r="G132" s="657"/>
      <c r="H132" s="657"/>
      <c r="I132" s="4"/>
    </row>
    <row r="133" spans="1:9" ht="29.1" hidden="1" outlineLevel="1">
      <c r="A133" s="4"/>
      <c r="B133" s="4"/>
      <c r="C133" s="4"/>
      <c r="D133" s="2" t="s">
        <v>1013</v>
      </c>
      <c r="E133" s="4"/>
      <c r="F133" s="657"/>
      <c r="G133" s="657"/>
      <c r="H133" s="657"/>
      <c r="I133" s="4"/>
    </row>
    <row r="134" spans="1:9" ht="14.45" customHeight="1" collapsed="1">
      <c r="A134" s="4"/>
      <c r="B134" s="4"/>
      <c r="C134" s="4"/>
      <c r="D134" s="8"/>
      <c r="E134" s="4"/>
      <c r="F134" s="4"/>
      <c r="G134" s="4"/>
      <c r="H134" s="4"/>
      <c r="I134" s="4"/>
    </row>
    <row r="135" spans="1:9" s="122" customFormat="1" ht="14.45" customHeight="1">
      <c r="A135" s="101"/>
      <c r="B135" s="101"/>
      <c r="C135" s="102" t="s">
        <v>905</v>
      </c>
      <c r="D135" s="103"/>
      <c r="E135" s="101"/>
      <c r="F135" s="101"/>
      <c r="G135" s="101"/>
      <c r="H135" s="101"/>
      <c r="I135" s="101"/>
    </row>
    <row r="136" spans="1:9" hidden="1" outlineLevel="1">
      <c r="A136" s="4"/>
      <c r="B136" s="4"/>
      <c r="C136" s="4"/>
      <c r="D136" s="8"/>
      <c r="E136" s="4"/>
      <c r="F136" s="4"/>
      <c r="G136" s="4"/>
      <c r="H136" s="4"/>
      <c r="I136" s="4"/>
    </row>
    <row r="137" spans="1:9" hidden="1" outlineLevel="1">
      <c r="A137" s="4"/>
      <c r="B137" s="4"/>
      <c r="C137" s="4"/>
      <c r="D137" s="2" t="s">
        <v>905</v>
      </c>
      <c r="E137" s="4"/>
      <c r="F137" s="657" t="s">
        <v>1014</v>
      </c>
      <c r="G137" s="657"/>
      <c r="H137" s="657"/>
      <c r="I137" s="4"/>
    </row>
    <row r="138" spans="1:9" hidden="1" outlineLevel="1">
      <c r="A138" s="4"/>
      <c r="B138" s="4"/>
      <c r="C138" s="4"/>
      <c r="D138" s="2" t="s">
        <v>1015</v>
      </c>
      <c r="E138" s="4"/>
      <c r="F138" s="657"/>
      <c r="G138" s="657"/>
      <c r="H138" s="657"/>
      <c r="I138" s="4"/>
    </row>
    <row r="139" spans="1:9" hidden="1" outlineLevel="1">
      <c r="A139" s="4"/>
      <c r="B139" s="4"/>
      <c r="C139" s="4"/>
      <c r="D139" s="2" t="s">
        <v>1016</v>
      </c>
      <c r="E139" s="4"/>
      <c r="F139" s="657"/>
      <c r="G139" s="657"/>
      <c r="H139" s="657"/>
      <c r="I139" s="4"/>
    </row>
    <row r="140" spans="1:9" hidden="1" outlineLevel="1">
      <c r="A140" s="4"/>
      <c r="B140" s="4"/>
      <c r="C140" s="4"/>
      <c r="D140" s="2" t="s">
        <v>1017</v>
      </c>
      <c r="E140" s="4"/>
      <c r="F140" s="657"/>
      <c r="G140" s="657"/>
      <c r="H140" s="657"/>
      <c r="I140" s="4"/>
    </row>
    <row r="141" spans="1:9" ht="14.45" customHeight="1" collapsed="1">
      <c r="A141" s="4"/>
      <c r="B141" s="4"/>
      <c r="C141" s="4"/>
      <c r="D141" s="8"/>
      <c r="E141" s="4"/>
      <c r="F141" s="4"/>
      <c r="G141" s="4"/>
      <c r="H141" s="4"/>
      <c r="I141" s="4"/>
    </row>
    <row r="142" spans="1:9" s="122" customFormat="1" ht="14.45" customHeight="1">
      <c r="A142" s="101"/>
      <c r="B142" s="101"/>
      <c r="C142" s="102" t="s">
        <v>951</v>
      </c>
      <c r="D142" s="103"/>
      <c r="E142" s="101"/>
      <c r="F142" s="101"/>
      <c r="G142" s="101"/>
      <c r="H142" s="101"/>
      <c r="I142" s="101"/>
    </row>
    <row r="143" spans="1:9" hidden="1" outlineLevel="1">
      <c r="A143" s="4"/>
      <c r="B143" s="4"/>
      <c r="C143" s="4"/>
      <c r="D143" s="8"/>
      <c r="E143" s="4"/>
      <c r="F143" s="4"/>
      <c r="G143" s="4"/>
      <c r="H143" s="4"/>
      <c r="I143" s="4"/>
    </row>
    <row r="144" spans="1:9" hidden="1" outlineLevel="1">
      <c r="A144" s="4"/>
      <c r="B144" s="4"/>
      <c r="C144" s="4"/>
      <c r="D144" s="2" t="s">
        <v>951</v>
      </c>
      <c r="E144" s="4"/>
      <c r="F144" s="657"/>
      <c r="G144" s="657"/>
      <c r="H144" s="657"/>
      <c r="I144" s="4"/>
    </row>
    <row r="145" spans="1:9" hidden="1" outlineLevel="1">
      <c r="A145" s="4"/>
      <c r="B145" s="4"/>
      <c r="C145" s="4"/>
      <c r="D145" s="2" t="s">
        <v>1018</v>
      </c>
      <c r="E145" s="4"/>
      <c r="F145" s="657"/>
      <c r="G145" s="657"/>
      <c r="H145" s="657"/>
      <c r="I145" s="4"/>
    </row>
    <row r="146" spans="1:9" hidden="1" outlineLevel="1">
      <c r="A146" s="4"/>
      <c r="B146" s="4"/>
      <c r="C146" s="4"/>
      <c r="D146" s="2" t="s">
        <v>1019</v>
      </c>
      <c r="E146" s="4"/>
      <c r="F146" s="657"/>
      <c r="G146" s="657"/>
      <c r="H146" s="657"/>
      <c r="I146" s="4"/>
    </row>
    <row r="147" spans="1:9" hidden="1" outlineLevel="1">
      <c r="A147" s="4"/>
      <c r="B147" s="4"/>
      <c r="C147" s="4"/>
      <c r="D147" s="2" t="s">
        <v>1020</v>
      </c>
      <c r="E147" s="4"/>
      <c r="F147" s="657"/>
      <c r="G147" s="657"/>
      <c r="H147" s="657"/>
      <c r="I147" s="4"/>
    </row>
    <row r="148" spans="1:9" hidden="1" outlineLevel="1">
      <c r="A148" s="4"/>
      <c r="B148" s="4"/>
      <c r="C148" s="4"/>
      <c r="D148" s="2" t="s">
        <v>1021</v>
      </c>
      <c r="E148" s="4"/>
      <c r="F148" s="657"/>
      <c r="G148" s="657"/>
      <c r="H148" s="657"/>
      <c r="I148" s="4"/>
    </row>
    <row r="149" spans="1:9" hidden="1" outlineLevel="1">
      <c r="A149" s="4"/>
      <c r="B149" s="4"/>
      <c r="C149" s="4"/>
      <c r="D149" s="2" t="s">
        <v>1022</v>
      </c>
      <c r="E149" s="4"/>
      <c r="F149" s="657"/>
      <c r="G149" s="657"/>
      <c r="H149" s="657"/>
      <c r="I149" s="4"/>
    </row>
    <row r="150" spans="1:9" hidden="1" outlineLevel="1">
      <c r="A150" s="4"/>
      <c r="B150" s="4"/>
      <c r="C150" s="4"/>
      <c r="D150" s="2" t="s">
        <v>1023</v>
      </c>
      <c r="E150" s="4"/>
      <c r="F150" s="657"/>
      <c r="G150" s="657"/>
      <c r="H150" s="657"/>
      <c r="I150" s="4"/>
    </row>
    <row r="151" spans="1:9" ht="14.45" customHeight="1" collapsed="1">
      <c r="A151" s="4"/>
      <c r="B151" s="4"/>
      <c r="C151" s="4"/>
      <c r="D151" s="8"/>
      <c r="E151" s="4"/>
      <c r="F151" s="4"/>
      <c r="G151" s="4"/>
      <c r="H151" s="4"/>
      <c r="I151" s="4"/>
    </row>
    <row r="152" spans="1:9" s="122" customFormat="1" ht="14.45" customHeight="1">
      <c r="A152" s="101"/>
      <c r="B152" s="101"/>
      <c r="C152" s="102" t="s">
        <v>952</v>
      </c>
      <c r="D152" s="103"/>
      <c r="E152" s="101"/>
      <c r="F152" s="101"/>
      <c r="G152" s="101"/>
      <c r="H152" s="101"/>
      <c r="I152" s="101"/>
    </row>
    <row r="153" spans="1:9" hidden="1" outlineLevel="1">
      <c r="A153" s="4"/>
      <c r="B153" s="4"/>
      <c r="C153" s="4"/>
      <c r="D153" s="8"/>
      <c r="E153" s="4"/>
      <c r="F153" s="4"/>
      <c r="G153" s="4"/>
      <c r="H153" s="4"/>
      <c r="I153" s="4"/>
    </row>
    <row r="154" spans="1:9" hidden="1" outlineLevel="1">
      <c r="A154" s="4"/>
      <c r="B154" s="4"/>
      <c r="C154" s="4"/>
      <c r="D154" s="2" t="s">
        <v>952</v>
      </c>
      <c r="E154" s="4"/>
      <c r="F154" s="657" t="s">
        <v>1024</v>
      </c>
      <c r="G154" s="657"/>
      <c r="H154" s="657"/>
      <c r="I154" s="4"/>
    </row>
    <row r="155" spans="1:9" hidden="1" outlineLevel="1">
      <c r="A155" s="4"/>
      <c r="B155" s="4"/>
      <c r="C155" s="4"/>
      <c r="D155" s="2" t="s">
        <v>1025</v>
      </c>
      <c r="E155" s="4"/>
      <c r="F155" s="657"/>
      <c r="G155" s="657"/>
      <c r="H155" s="657"/>
      <c r="I155" s="4"/>
    </row>
    <row r="156" spans="1:9" hidden="1" outlineLevel="1">
      <c r="A156" s="4"/>
      <c r="B156" s="4"/>
      <c r="C156" s="4"/>
      <c r="D156" s="2" t="s">
        <v>1026</v>
      </c>
      <c r="E156" s="4"/>
      <c r="F156" s="657"/>
      <c r="G156" s="657"/>
      <c r="H156" s="657"/>
      <c r="I156" s="4"/>
    </row>
    <row r="157" spans="1:9" ht="14.45" customHeight="1" collapsed="1">
      <c r="A157" s="4"/>
      <c r="B157" s="4"/>
      <c r="C157" s="4"/>
      <c r="D157" s="8"/>
      <c r="E157" s="4"/>
      <c r="F157" s="4"/>
      <c r="G157" s="4"/>
      <c r="H157" s="4"/>
      <c r="I157" s="4"/>
    </row>
    <row r="158" spans="1:9" s="122" customFormat="1" ht="14.45" customHeight="1">
      <c r="A158" s="101"/>
      <c r="B158" s="101"/>
      <c r="C158" s="102" t="s">
        <v>953</v>
      </c>
      <c r="D158" s="103"/>
      <c r="E158" s="101"/>
      <c r="F158" s="101"/>
      <c r="G158" s="101"/>
      <c r="H158" s="101"/>
      <c r="I158" s="101"/>
    </row>
    <row r="159" spans="1:9" hidden="1" outlineLevel="1">
      <c r="A159" s="4"/>
      <c r="B159" s="4"/>
      <c r="C159" s="4"/>
      <c r="D159" s="8"/>
      <c r="E159" s="4"/>
      <c r="F159" s="4"/>
      <c r="G159" s="4"/>
      <c r="H159" s="4"/>
      <c r="I159" s="4"/>
    </row>
    <row r="160" spans="1:9" hidden="1" outlineLevel="1">
      <c r="A160" s="4"/>
      <c r="B160" s="4"/>
      <c r="C160" s="4"/>
      <c r="D160" s="2" t="s">
        <v>953</v>
      </c>
      <c r="E160" s="4"/>
      <c r="F160" s="657" t="s">
        <v>1027</v>
      </c>
      <c r="G160" s="657"/>
      <c r="H160" s="657"/>
      <c r="I160" s="4"/>
    </row>
    <row r="161" spans="1:9" hidden="1" outlineLevel="1">
      <c r="A161" s="4"/>
      <c r="B161" s="4"/>
      <c r="C161" s="4"/>
      <c r="D161" s="2" t="s">
        <v>1028</v>
      </c>
      <c r="E161" s="4"/>
      <c r="F161" s="657"/>
      <c r="G161" s="657"/>
      <c r="H161" s="657"/>
      <c r="I161" s="4"/>
    </row>
    <row r="162" spans="1:9" hidden="1" outlineLevel="1">
      <c r="A162" s="4"/>
      <c r="B162" s="4"/>
      <c r="C162" s="4"/>
      <c r="D162" s="2" t="s">
        <v>1029</v>
      </c>
      <c r="E162" s="4"/>
      <c r="F162" s="657"/>
      <c r="G162" s="657"/>
      <c r="H162" s="657"/>
      <c r="I162" s="4"/>
    </row>
    <row r="163" spans="1:9" hidden="1" outlineLevel="1">
      <c r="A163" s="4"/>
      <c r="B163" s="4"/>
      <c r="C163" s="4"/>
      <c r="D163" s="2" t="s">
        <v>1030</v>
      </c>
      <c r="E163" s="4"/>
      <c r="F163" s="657"/>
      <c r="G163" s="657"/>
      <c r="H163" s="657"/>
      <c r="I163" s="4"/>
    </row>
    <row r="164" spans="1:9" ht="29.1" hidden="1" outlineLevel="1">
      <c r="A164" s="4"/>
      <c r="B164" s="4"/>
      <c r="C164" s="4"/>
      <c r="D164" s="2" t="s">
        <v>1031</v>
      </c>
      <c r="E164" s="4"/>
      <c r="F164" s="657"/>
      <c r="G164" s="657"/>
      <c r="H164" s="657"/>
      <c r="I164" s="4"/>
    </row>
    <row r="165" spans="1:9" hidden="1" outlineLevel="1">
      <c r="A165" s="4"/>
      <c r="B165" s="4"/>
      <c r="C165" s="4"/>
      <c r="D165" s="2" t="s">
        <v>1032</v>
      </c>
      <c r="E165" s="4"/>
      <c r="F165" s="657"/>
      <c r="G165" s="657"/>
      <c r="H165" s="657"/>
      <c r="I165" s="4"/>
    </row>
    <row r="166" spans="1:9" hidden="1" outlineLevel="1">
      <c r="A166" s="4"/>
      <c r="B166" s="4"/>
      <c r="C166" s="4"/>
      <c r="D166" s="2" t="s">
        <v>1033</v>
      </c>
      <c r="E166" s="4"/>
      <c r="F166" s="657"/>
      <c r="G166" s="657"/>
      <c r="H166" s="657"/>
      <c r="I166" s="4"/>
    </row>
    <row r="167" spans="1:9" hidden="1" outlineLevel="1">
      <c r="A167" s="4"/>
      <c r="B167" s="4"/>
      <c r="C167" s="4"/>
      <c r="D167" s="2" t="s">
        <v>1034</v>
      </c>
      <c r="E167" s="4"/>
      <c r="F167" s="657"/>
      <c r="G167" s="657"/>
      <c r="H167" s="657"/>
      <c r="I167" s="4"/>
    </row>
    <row r="168" spans="1:9" ht="14.1" hidden="1" customHeight="1" outlineLevel="1">
      <c r="A168" s="4"/>
      <c r="B168" s="4"/>
      <c r="C168" s="4"/>
      <c r="D168" s="2" t="s">
        <v>1035</v>
      </c>
      <c r="E168" s="4"/>
      <c r="F168" s="657"/>
      <c r="G168" s="657"/>
      <c r="H168" s="657"/>
      <c r="I168" s="4"/>
    </row>
    <row r="169" spans="1:9" ht="14.45" customHeight="1" collapsed="1">
      <c r="A169" s="4"/>
      <c r="B169" s="4"/>
      <c r="C169" s="4"/>
      <c r="D169" s="8"/>
      <c r="E169" s="4"/>
      <c r="F169" s="4"/>
      <c r="G169" s="4"/>
      <c r="H169" s="4"/>
      <c r="I169" s="4"/>
    </row>
    <row r="170" spans="1:9" s="122" customFormat="1" ht="14.45" customHeight="1">
      <c r="A170" s="101"/>
      <c r="B170" s="101"/>
      <c r="C170" s="102" t="s">
        <v>954</v>
      </c>
      <c r="D170" s="103"/>
      <c r="E170" s="101"/>
      <c r="F170" s="101"/>
      <c r="G170" s="101"/>
      <c r="H170" s="101"/>
      <c r="I170" s="101"/>
    </row>
    <row r="171" spans="1:9" hidden="1" outlineLevel="1">
      <c r="A171" s="4"/>
      <c r="B171" s="4"/>
      <c r="C171" s="4"/>
      <c r="D171" s="8"/>
      <c r="E171" s="4"/>
      <c r="F171" s="4"/>
      <c r="G171" s="4"/>
      <c r="H171" s="4"/>
      <c r="I171" s="4"/>
    </row>
    <row r="172" spans="1:9" hidden="1" outlineLevel="1">
      <c r="A172" s="4"/>
      <c r="B172" s="4"/>
      <c r="C172" s="4"/>
      <c r="D172" s="2" t="s">
        <v>954</v>
      </c>
      <c r="E172" s="4"/>
      <c r="F172" s="657" t="s">
        <v>1036</v>
      </c>
      <c r="G172" s="657"/>
      <c r="H172" s="657"/>
      <c r="I172" s="4"/>
    </row>
    <row r="173" spans="1:9" hidden="1" outlineLevel="1">
      <c r="A173" s="4"/>
      <c r="B173" s="4"/>
      <c r="C173" s="4"/>
      <c r="D173" s="2" t="s">
        <v>1037</v>
      </c>
      <c r="E173" s="4"/>
      <c r="F173" s="657"/>
      <c r="G173" s="657"/>
      <c r="H173" s="657"/>
      <c r="I173" s="4"/>
    </row>
    <row r="174" spans="1:9" hidden="1" outlineLevel="1">
      <c r="A174" s="4"/>
      <c r="B174" s="4"/>
      <c r="C174" s="4"/>
      <c r="D174" s="2" t="s">
        <v>1038</v>
      </c>
      <c r="E174" s="4"/>
      <c r="F174" s="657"/>
      <c r="G174" s="657"/>
      <c r="H174" s="657"/>
      <c r="I174" s="4"/>
    </row>
    <row r="175" spans="1:9" hidden="1" outlineLevel="1">
      <c r="A175" s="4"/>
      <c r="B175" s="4"/>
      <c r="C175" s="4"/>
      <c r="D175" s="2" t="s">
        <v>1039</v>
      </c>
      <c r="E175" s="4"/>
      <c r="F175" s="657"/>
      <c r="G175" s="657"/>
      <c r="H175" s="657"/>
      <c r="I175" s="4"/>
    </row>
    <row r="176" spans="1:9" hidden="1" outlineLevel="1">
      <c r="A176" s="4"/>
      <c r="B176" s="4"/>
      <c r="C176" s="4"/>
      <c r="D176" s="2" t="s">
        <v>1040</v>
      </c>
      <c r="E176" s="4"/>
      <c r="F176" s="657"/>
      <c r="G176" s="657"/>
      <c r="H176" s="657"/>
      <c r="I176" s="4"/>
    </row>
    <row r="177" spans="1:9" hidden="1" outlineLevel="1">
      <c r="A177" s="4"/>
      <c r="B177" s="4"/>
      <c r="C177" s="4"/>
      <c r="D177" s="2" t="s">
        <v>1041</v>
      </c>
      <c r="E177" s="4"/>
      <c r="F177" s="657"/>
      <c r="G177" s="657"/>
      <c r="H177" s="657"/>
      <c r="I177" s="4"/>
    </row>
    <row r="178" spans="1:9" ht="14.45" customHeight="1" collapsed="1">
      <c r="A178" s="4"/>
      <c r="B178" s="4"/>
      <c r="C178" s="4"/>
      <c r="D178" s="8"/>
      <c r="E178" s="4"/>
      <c r="F178" s="4"/>
      <c r="G178" s="4"/>
      <c r="H178" s="4"/>
      <c r="I178" s="4"/>
    </row>
    <row r="179" spans="1:9" s="122" customFormat="1" ht="14.45" customHeight="1">
      <c r="A179" s="101"/>
      <c r="B179" s="101"/>
      <c r="C179" s="102" t="s">
        <v>955</v>
      </c>
      <c r="D179" s="103"/>
      <c r="E179" s="101"/>
      <c r="F179" s="101"/>
      <c r="G179" s="101"/>
      <c r="H179" s="101"/>
      <c r="I179" s="101"/>
    </row>
    <row r="180" spans="1:9" hidden="1" outlineLevel="1">
      <c r="A180" s="4"/>
      <c r="B180" s="4"/>
      <c r="C180" s="4"/>
      <c r="D180" s="8"/>
      <c r="E180" s="4"/>
      <c r="F180" s="4"/>
      <c r="G180" s="4"/>
      <c r="H180" s="4"/>
      <c r="I180" s="4"/>
    </row>
    <row r="181" spans="1:9" hidden="1" outlineLevel="1">
      <c r="A181" s="4"/>
      <c r="B181" s="4"/>
      <c r="C181" s="4"/>
      <c r="D181" s="2" t="s">
        <v>955</v>
      </c>
      <c r="E181" s="4"/>
      <c r="F181" s="658" t="s">
        <v>1042</v>
      </c>
      <c r="G181" s="658"/>
      <c r="H181" s="658"/>
      <c r="I181" s="4"/>
    </row>
    <row r="182" spans="1:9" hidden="1" outlineLevel="1">
      <c r="A182" s="4"/>
      <c r="B182" s="4"/>
      <c r="C182" s="4"/>
      <c r="D182" s="2" t="s">
        <v>1043</v>
      </c>
      <c r="E182" s="4"/>
      <c r="F182" s="658"/>
      <c r="G182" s="658"/>
      <c r="H182" s="658"/>
      <c r="I182" s="4"/>
    </row>
    <row r="183" spans="1:9" hidden="1" outlineLevel="1">
      <c r="A183" s="4"/>
      <c r="B183" s="4"/>
      <c r="C183" s="4"/>
      <c r="D183" s="2" t="s">
        <v>1044</v>
      </c>
      <c r="E183" s="4"/>
      <c r="F183" s="658"/>
      <c r="G183" s="658"/>
      <c r="H183" s="658"/>
      <c r="I183" s="4"/>
    </row>
    <row r="184" spans="1:9" hidden="1" outlineLevel="1">
      <c r="A184" s="4"/>
      <c r="B184" s="4"/>
      <c r="C184" s="4"/>
      <c r="D184" s="2" t="s">
        <v>1045</v>
      </c>
      <c r="E184" s="4"/>
      <c r="F184" s="658"/>
      <c r="G184" s="658"/>
      <c r="H184" s="658"/>
      <c r="I184" s="4"/>
    </row>
    <row r="185" spans="1:9" hidden="1" outlineLevel="1">
      <c r="A185" s="4"/>
      <c r="B185" s="4"/>
      <c r="C185" s="4"/>
      <c r="D185" s="2" t="s">
        <v>1046</v>
      </c>
      <c r="E185" s="4"/>
      <c r="F185" s="658"/>
      <c r="G185" s="658"/>
      <c r="H185" s="658"/>
      <c r="I185" s="4"/>
    </row>
    <row r="186" spans="1:9" hidden="1" outlineLevel="1">
      <c r="A186" s="4"/>
      <c r="B186" s="4"/>
      <c r="C186" s="4"/>
      <c r="D186" s="2" t="s">
        <v>1047</v>
      </c>
      <c r="E186" s="4"/>
      <c r="F186" s="658"/>
      <c r="G186" s="658"/>
      <c r="H186" s="658"/>
      <c r="I186" s="4"/>
    </row>
    <row r="187" spans="1:9" hidden="1" outlineLevel="1">
      <c r="A187" s="4"/>
      <c r="B187" s="4"/>
      <c r="C187" s="4"/>
      <c r="D187" s="2" t="s">
        <v>1048</v>
      </c>
      <c r="E187" s="4"/>
      <c r="F187" s="658"/>
      <c r="G187" s="658"/>
      <c r="H187" s="658"/>
      <c r="I187" s="4"/>
    </row>
    <row r="188" spans="1:9" ht="29.1" hidden="1" outlineLevel="1">
      <c r="A188" s="4"/>
      <c r="B188" s="4"/>
      <c r="C188" s="4"/>
      <c r="D188" s="2" t="s">
        <v>1049</v>
      </c>
      <c r="E188" s="4"/>
      <c r="F188" s="658"/>
      <c r="G188" s="658"/>
      <c r="H188" s="658"/>
      <c r="I188" s="4"/>
    </row>
    <row r="189" spans="1:9" hidden="1" outlineLevel="1">
      <c r="A189" s="4"/>
      <c r="B189" s="4"/>
      <c r="C189" s="4"/>
      <c r="D189" s="2" t="s">
        <v>1050</v>
      </c>
      <c r="E189" s="4"/>
      <c r="F189" s="658"/>
      <c r="G189" s="658"/>
      <c r="H189" s="658"/>
      <c r="I189" s="4"/>
    </row>
    <row r="190" spans="1:9" hidden="1" outlineLevel="1">
      <c r="A190" s="4"/>
      <c r="B190" s="4"/>
      <c r="C190" s="4"/>
      <c r="D190" s="2" t="s">
        <v>1051</v>
      </c>
      <c r="E190" s="4"/>
      <c r="F190" s="658"/>
      <c r="G190" s="658"/>
      <c r="H190" s="658"/>
      <c r="I190" s="4"/>
    </row>
    <row r="191" spans="1:9" hidden="1" outlineLevel="1">
      <c r="A191" s="4"/>
      <c r="B191" s="4"/>
      <c r="C191" s="4"/>
      <c r="D191" s="2" t="s">
        <v>1052</v>
      </c>
      <c r="E191" s="4"/>
      <c r="F191" s="658"/>
      <c r="G191" s="658"/>
      <c r="H191" s="658"/>
      <c r="I191" s="4"/>
    </row>
    <row r="192" spans="1:9" hidden="1" outlineLevel="1">
      <c r="A192" s="4"/>
      <c r="B192" s="4"/>
      <c r="C192" s="4"/>
      <c r="D192" s="2" t="s">
        <v>1053</v>
      </c>
      <c r="E192" s="4"/>
      <c r="F192" s="658"/>
      <c r="G192" s="658"/>
      <c r="H192" s="658"/>
      <c r="I192" s="4"/>
    </row>
    <row r="193" spans="1:9" ht="14.45" customHeight="1" collapsed="1">
      <c r="A193" s="4"/>
      <c r="B193" s="4"/>
      <c r="C193" s="4"/>
      <c r="D193" s="8"/>
      <c r="E193" s="4"/>
      <c r="F193" s="4"/>
      <c r="G193" s="4"/>
      <c r="H193" s="4"/>
      <c r="I193" s="4"/>
    </row>
    <row r="194" spans="1:9" s="122" customFormat="1" ht="14.45" customHeight="1">
      <c r="A194" s="101"/>
      <c r="B194" s="101"/>
      <c r="C194" s="102" t="s">
        <v>956</v>
      </c>
      <c r="D194" s="103"/>
      <c r="E194" s="101"/>
      <c r="F194" s="101"/>
      <c r="G194" s="101"/>
      <c r="H194" s="101"/>
      <c r="I194" s="101"/>
    </row>
    <row r="195" spans="1:9" hidden="1" outlineLevel="1">
      <c r="A195" s="4"/>
      <c r="B195" s="4"/>
      <c r="C195" s="4"/>
      <c r="D195" s="8"/>
      <c r="E195" s="4"/>
      <c r="F195" s="4"/>
      <c r="G195" s="4"/>
      <c r="H195" s="4"/>
      <c r="I195" s="4"/>
    </row>
    <row r="196" spans="1:9" hidden="1" outlineLevel="1">
      <c r="A196" s="4"/>
      <c r="B196" s="4"/>
      <c r="C196" s="4"/>
      <c r="D196" s="18" t="s">
        <v>956</v>
      </c>
      <c r="E196" s="79"/>
      <c r="F196" s="657" t="s">
        <v>1054</v>
      </c>
      <c r="G196" s="657"/>
      <c r="H196" s="657"/>
      <c r="I196" s="4"/>
    </row>
    <row r="197" spans="1:9" ht="43.5" hidden="1" outlineLevel="1">
      <c r="A197" s="4"/>
      <c r="B197" s="4"/>
      <c r="C197" s="4"/>
      <c r="D197" s="18" t="s">
        <v>1055</v>
      </c>
      <c r="E197" s="79"/>
      <c r="F197" s="657"/>
      <c r="G197" s="657"/>
      <c r="H197" s="657"/>
      <c r="I197" s="4"/>
    </row>
    <row r="198" spans="1:9" ht="29.1" hidden="1" outlineLevel="1">
      <c r="A198" s="4"/>
      <c r="B198" s="4"/>
      <c r="C198" s="4"/>
      <c r="D198" s="18" t="s">
        <v>1056</v>
      </c>
      <c r="E198" s="79"/>
      <c r="F198" s="657"/>
      <c r="G198" s="657"/>
      <c r="H198" s="657"/>
      <c r="I198" s="4"/>
    </row>
    <row r="199" spans="1:9" ht="14.45" customHeight="1" collapsed="1">
      <c r="A199" s="4"/>
      <c r="B199" s="4"/>
      <c r="C199" s="4"/>
      <c r="D199" s="8"/>
      <c r="E199" s="4"/>
      <c r="F199" s="4"/>
      <c r="G199" s="4"/>
      <c r="H199" s="4"/>
      <c r="I199" s="4"/>
    </row>
    <row r="200" spans="1:9" s="122" customFormat="1" ht="14.45" customHeight="1">
      <c r="A200" s="101"/>
      <c r="B200" s="101"/>
      <c r="C200" s="102" t="s">
        <v>957</v>
      </c>
      <c r="D200" s="103"/>
      <c r="E200" s="101"/>
      <c r="F200" s="101"/>
      <c r="G200" s="101"/>
      <c r="H200" s="101"/>
      <c r="I200" s="101"/>
    </row>
    <row r="201" spans="1:9" hidden="1" outlineLevel="1">
      <c r="A201" s="4"/>
      <c r="B201" s="4"/>
      <c r="C201" s="4"/>
      <c r="D201" s="8"/>
      <c r="E201" s="4"/>
      <c r="F201" s="4"/>
      <c r="G201" s="4"/>
      <c r="H201" s="4"/>
      <c r="I201" s="4"/>
    </row>
    <row r="202" spans="1:9" hidden="1" outlineLevel="1">
      <c r="A202" s="4"/>
      <c r="B202" s="4"/>
      <c r="C202" s="4"/>
      <c r="D202" s="2" t="s">
        <v>957</v>
      </c>
      <c r="E202" s="4"/>
      <c r="F202" s="657" t="s">
        <v>1057</v>
      </c>
      <c r="G202" s="657"/>
      <c r="H202" s="657"/>
      <c r="I202" s="4"/>
    </row>
    <row r="203" spans="1:9" hidden="1" outlineLevel="1">
      <c r="A203" s="4"/>
      <c r="B203" s="4"/>
      <c r="C203" s="4"/>
      <c r="D203" s="2" t="s">
        <v>1058</v>
      </c>
      <c r="E203" s="4"/>
      <c r="F203" s="657"/>
      <c r="G203" s="657"/>
      <c r="H203" s="657"/>
      <c r="I203" s="4"/>
    </row>
    <row r="204" spans="1:9" hidden="1" outlineLevel="1">
      <c r="A204" s="4"/>
      <c r="B204" s="4"/>
      <c r="C204" s="4"/>
      <c r="D204" s="2" t="s">
        <v>1059</v>
      </c>
      <c r="E204" s="4"/>
      <c r="F204" s="657"/>
      <c r="G204" s="657"/>
      <c r="H204" s="657"/>
      <c r="I204" s="4"/>
    </row>
    <row r="205" spans="1:9" ht="14.45" customHeight="1" collapsed="1">
      <c r="A205" s="4"/>
      <c r="B205" s="4"/>
      <c r="C205" s="4"/>
      <c r="D205" s="8"/>
      <c r="E205" s="4"/>
      <c r="F205" s="4"/>
      <c r="G205" s="4"/>
      <c r="H205" s="4"/>
      <c r="I205" s="4"/>
    </row>
    <row r="206" spans="1:9" s="122" customFormat="1" ht="14.45" customHeight="1">
      <c r="A206" s="101"/>
      <c r="B206" s="101"/>
      <c r="C206" s="102" t="s">
        <v>958</v>
      </c>
      <c r="D206" s="103"/>
      <c r="E206" s="101"/>
      <c r="F206" s="101"/>
      <c r="G206" s="101"/>
      <c r="H206" s="101"/>
      <c r="I206" s="101"/>
    </row>
    <row r="207" spans="1:9" hidden="1" outlineLevel="1">
      <c r="A207" s="4"/>
      <c r="B207" s="4"/>
      <c r="C207" s="4"/>
      <c r="D207" s="8"/>
      <c r="E207" s="4"/>
      <c r="F207" s="4"/>
      <c r="G207" s="4"/>
      <c r="H207" s="4"/>
      <c r="I207" s="4"/>
    </row>
    <row r="208" spans="1:9" hidden="1" outlineLevel="1">
      <c r="A208" s="4"/>
      <c r="B208" s="4"/>
      <c r="C208" s="4"/>
      <c r="D208" s="2" t="s">
        <v>958</v>
      </c>
      <c r="E208" s="4"/>
      <c r="F208" s="657" t="s">
        <v>1060</v>
      </c>
      <c r="G208" s="657"/>
      <c r="H208" s="657"/>
      <c r="I208" s="4"/>
    </row>
    <row r="209" spans="1:9" ht="29.1" hidden="1" outlineLevel="1">
      <c r="A209" s="4"/>
      <c r="B209" s="4"/>
      <c r="C209" s="4"/>
      <c r="D209" s="2" t="s">
        <v>1061</v>
      </c>
      <c r="E209" s="4"/>
      <c r="F209" s="657"/>
      <c r="G209" s="657"/>
      <c r="H209" s="657"/>
      <c r="I209" s="4"/>
    </row>
    <row r="210" spans="1:9" ht="29.1" hidden="1" outlineLevel="1">
      <c r="A210" s="4"/>
      <c r="B210" s="4"/>
      <c r="C210" s="4"/>
      <c r="D210" s="2" t="s">
        <v>1062</v>
      </c>
      <c r="E210" s="4"/>
      <c r="F210" s="657"/>
      <c r="G210" s="657"/>
      <c r="H210" s="657"/>
      <c r="I210" s="4"/>
    </row>
    <row r="211" spans="1:9" ht="29.1" hidden="1" outlineLevel="1">
      <c r="A211" s="4"/>
      <c r="B211" s="4"/>
      <c r="C211" s="4"/>
      <c r="D211" s="2" t="s">
        <v>1063</v>
      </c>
      <c r="E211" s="4"/>
      <c r="F211" s="657"/>
      <c r="G211" s="657"/>
      <c r="H211" s="657"/>
      <c r="I211" s="4"/>
    </row>
    <row r="212" spans="1:9" ht="14.45" customHeight="1" collapsed="1">
      <c r="A212" s="4"/>
      <c r="B212" s="4"/>
      <c r="C212" s="4"/>
      <c r="D212" s="8"/>
      <c r="E212" s="4"/>
      <c r="F212" s="4"/>
      <c r="G212" s="4"/>
      <c r="H212" s="4"/>
      <c r="I212" s="4"/>
    </row>
    <row r="213" spans="1:9" s="122" customFormat="1" ht="14.45" customHeight="1">
      <c r="A213" s="101"/>
      <c r="B213" s="101"/>
      <c r="C213" s="102" t="s">
        <v>959</v>
      </c>
      <c r="D213" s="103"/>
      <c r="E213" s="101"/>
      <c r="F213" s="101"/>
      <c r="G213" s="101"/>
      <c r="H213" s="101"/>
      <c r="I213" s="101"/>
    </row>
    <row r="214" spans="1:9" hidden="1" outlineLevel="1">
      <c r="A214" s="4"/>
      <c r="B214" s="4"/>
      <c r="C214" s="4"/>
      <c r="D214" s="8"/>
      <c r="E214" s="4"/>
      <c r="F214" s="4"/>
      <c r="G214" s="4"/>
      <c r="H214" s="4"/>
      <c r="I214" s="4"/>
    </row>
    <row r="215" spans="1:9" hidden="1" outlineLevel="1">
      <c r="A215" s="4"/>
      <c r="B215" s="4"/>
      <c r="C215" s="4"/>
      <c r="D215" s="2" t="s">
        <v>959</v>
      </c>
      <c r="E215" s="4"/>
      <c r="F215" s="657" t="s">
        <v>1064</v>
      </c>
      <c r="G215" s="657"/>
      <c r="H215" s="657"/>
      <c r="I215" s="4"/>
    </row>
    <row r="216" spans="1:9" hidden="1" outlineLevel="1">
      <c r="A216" s="4"/>
      <c r="B216" s="4"/>
      <c r="C216" s="4"/>
      <c r="D216" s="2" t="s">
        <v>1065</v>
      </c>
      <c r="E216" s="4"/>
      <c r="F216" s="657"/>
      <c r="G216" s="657"/>
      <c r="H216" s="657"/>
      <c r="I216" s="4"/>
    </row>
    <row r="217" spans="1:9" hidden="1" outlineLevel="1">
      <c r="A217" s="4"/>
      <c r="B217" s="4"/>
      <c r="C217" s="4"/>
      <c r="D217" s="2" t="s">
        <v>1066</v>
      </c>
      <c r="E217" s="4"/>
      <c r="F217" s="657"/>
      <c r="G217" s="657"/>
      <c r="H217" s="657"/>
      <c r="I217" s="4"/>
    </row>
    <row r="218" spans="1:9" hidden="1" outlineLevel="1">
      <c r="A218" s="4"/>
      <c r="B218" s="4"/>
      <c r="C218" s="4"/>
      <c r="D218" s="2" t="s">
        <v>1067</v>
      </c>
      <c r="E218" s="4"/>
      <c r="F218" s="657"/>
      <c r="G218" s="657"/>
      <c r="H218" s="657"/>
      <c r="I218" s="4"/>
    </row>
    <row r="219" spans="1:9" hidden="1" outlineLevel="1">
      <c r="A219" s="4"/>
      <c r="B219" s="4"/>
      <c r="C219" s="4"/>
      <c r="D219" s="2" t="s">
        <v>1068</v>
      </c>
      <c r="E219" s="4"/>
      <c r="F219" s="657"/>
      <c r="G219" s="657"/>
      <c r="H219" s="657"/>
      <c r="I219" s="4"/>
    </row>
    <row r="220" spans="1:9" hidden="1" outlineLevel="1">
      <c r="A220" s="4"/>
      <c r="B220" s="4"/>
      <c r="C220" s="4"/>
      <c r="D220" s="2" t="s">
        <v>1069</v>
      </c>
      <c r="E220" s="4"/>
      <c r="F220" s="657"/>
      <c r="G220" s="657"/>
      <c r="H220" s="657"/>
      <c r="I220" s="4"/>
    </row>
    <row r="221" spans="1:9" collapsed="1">
      <c r="A221" s="4"/>
      <c r="B221" s="4"/>
      <c r="C221" s="4"/>
      <c r="D221" s="8"/>
      <c r="E221" s="4"/>
      <c r="F221" s="4"/>
      <c r="G221" s="4"/>
      <c r="H221" s="4"/>
      <c r="I221" s="4"/>
    </row>
    <row r="222" spans="1:9" ht="18.600000000000001">
      <c r="A222" s="4"/>
      <c r="B222" s="4"/>
      <c r="C222" s="102" t="s">
        <v>78</v>
      </c>
      <c r="D222" s="174"/>
      <c r="E222" s="102"/>
      <c r="F222" s="102"/>
      <c r="G222" s="102"/>
      <c r="H222" s="102"/>
      <c r="I222" s="102"/>
    </row>
    <row r="223" spans="1:9" outlineLevel="1">
      <c r="A223" s="4"/>
      <c r="B223" s="4"/>
      <c r="C223" s="4"/>
      <c r="D223" s="8"/>
      <c r="E223" s="4"/>
      <c r="F223" s="4"/>
      <c r="G223" s="4"/>
      <c r="H223" s="4"/>
      <c r="I223" s="4"/>
    </row>
    <row r="224" spans="1:9" outlineLevel="1">
      <c r="A224" s="4"/>
      <c r="B224" s="4"/>
      <c r="C224" s="7" t="s">
        <v>1070</v>
      </c>
      <c r="D224" s="7"/>
      <c r="E224" s="70"/>
      <c r="F224" s="7"/>
      <c r="G224" s="7"/>
      <c r="H224" s="7"/>
      <c r="I224" s="4"/>
    </row>
    <row r="225" spans="1:9" outlineLevel="1">
      <c r="A225" s="4"/>
      <c r="B225" s="4"/>
      <c r="C225" s="1" t="s">
        <v>1071</v>
      </c>
      <c r="D225" s="7"/>
      <c r="E225" s="70"/>
      <c r="F225" s="7"/>
      <c r="G225" s="7"/>
      <c r="H225" s="7"/>
      <c r="I225" s="4"/>
    </row>
    <row r="226" spans="1:9" outlineLevel="1">
      <c r="A226" s="4"/>
      <c r="B226" s="4"/>
      <c r="C226" s="1" t="s">
        <v>1072</v>
      </c>
      <c r="D226" s="7"/>
      <c r="E226" s="70"/>
      <c r="F226" s="7"/>
      <c r="G226" s="7"/>
      <c r="H226" s="7"/>
      <c r="I226" s="4"/>
    </row>
    <row r="227" spans="1:9">
      <c r="A227" s="4"/>
      <c r="B227" s="4"/>
      <c r="C227" s="4"/>
      <c r="D227" s="8"/>
      <c r="E227" s="4"/>
      <c r="F227" s="4"/>
      <c r="G227" s="4"/>
      <c r="H227" s="4"/>
      <c r="I227" s="4"/>
    </row>
  </sheetData>
  <mergeCells count="37">
    <mergeCell ref="F202:H204"/>
    <mergeCell ref="F208:H211"/>
    <mergeCell ref="F215:H220"/>
    <mergeCell ref="F154:H156"/>
    <mergeCell ref="F160:H168"/>
    <mergeCell ref="F172:H177"/>
    <mergeCell ref="F181:H192"/>
    <mergeCell ref="F196:H198"/>
    <mergeCell ref="F144:H150"/>
    <mergeCell ref="C3:F3"/>
    <mergeCell ref="C2:F2"/>
    <mergeCell ref="F100:H102"/>
    <mergeCell ref="F106:H110"/>
    <mergeCell ref="F114:H124"/>
    <mergeCell ref="F128:H133"/>
    <mergeCell ref="F137:H140"/>
    <mergeCell ref="F49:H54"/>
    <mergeCell ref="F58:H65"/>
    <mergeCell ref="F69:H81"/>
    <mergeCell ref="F85:H91"/>
    <mergeCell ref="F95:H96"/>
    <mergeCell ref="E19:F19"/>
    <mergeCell ref="E20:F20"/>
    <mergeCell ref="E21:F21"/>
    <mergeCell ref="E6:F6"/>
    <mergeCell ref="E7:F7"/>
    <mergeCell ref="E8:F8"/>
    <mergeCell ref="E9:F9"/>
    <mergeCell ref="E10:F10"/>
    <mergeCell ref="E16:F16"/>
    <mergeCell ref="E17:F17"/>
    <mergeCell ref="E18:F18"/>
    <mergeCell ref="E11:F11"/>
    <mergeCell ref="E12:F12"/>
    <mergeCell ref="E13:F13"/>
    <mergeCell ref="E14:F14"/>
    <mergeCell ref="E15:F15"/>
  </mergeCells>
  <phoneticPr fontId="65"/>
  <hyperlinks>
    <hyperlink ref="E21" r:id="rId1" display="https://learn.microsoft.com/en-us/azure/architecture/web-apps/app-service/architectures/multi-region" xr:uid="{77FD5CD8-AA79-4B05-B200-BD2A1E585DEC}"/>
    <hyperlink ref="D26" location="'2 Service Map'!Application_Development_Logic" display="Application Development Logic" xr:uid="{5376C2FA-DEB2-4639-88AB-7E73F3CF8B11}"/>
    <hyperlink ref="D27" location="'2 Service Map'!Business_Functions" display="Business Functions" xr:uid="{13E89930-064B-4368-932F-2100B5B364C0}"/>
    <hyperlink ref="D28" location="'2 Service Map'!Services" display="Services" xr:uid="{C13812F0-382D-428B-B66B-4077E597A4DC}"/>
    <hyperlink ref="D29" location="'2 Service Map'!Dependencies__upstream" display="Dependencies (upstream)" xr:uid="{A66CC7AE-A9AF-4886-BF46-3734535042F0}"/>
    <hyperlink ref="D30" location="'2 Service Map'!Dependencies__downstream" display="Dependencies (downstream)" xr:uid="{7A3E7059-78C2-4723-9CB2-2F1E05504CA8}"/>
    <hyperlink ref="D31" location="'2 Service Map'!Deployment" display="Deployment" xr:uid="{37601211-BD78-4309-A01C-84B3169F21BC}"/>
    <hyperlink ref="D32" location="'2 Service Map'!Directory_Services" display="Directory Services" xr:uid="{4CE8CC56-F504-422D-89BB-941FA7DD11FB}"/>
    <hyperlink ref="D33" location="'2 Service Map'!Documentation" display="Documentation" xr:uid="{3EFBDB68-4AA6-4879-995C-1610BBBBB4FF}"/>
    <hyperlink ref="D34" location="'2 Service Map'!Hardware" display="Hardware" xr:uid="{EE0904A6-7D3A-4487-8149-CEA1AF4B5B37}"/>
    <hyperlink ref="D35" location="'2 Service Map'!Hosting_Environment" display="Hosting Environment" xr:uid="{94C1A561-B13A-4D82-B228-4EFE100C06AA}"/>
    <hyperlink ref="D36" location="'2 Service Map'!Metrics" display="Metrics" xr:uid="{2488EA6B-2536-4A59-BB8B-03717D56030A}"/>
    <hyperlink ref="D37" location="'2 Service Map'!Settings" display="Settings" xr:uid="{72BE092B-5FE6-49EE-97DB-FEFA00B97E07}"/>
    <hyperlink ref="D38" location="'2 Service Map'!Software_Bill_of_Materials" display="Software Bill of Materials" xr:uid="{6CD0257C-3A70-45B9-B2A1-4BAFD5A441EB}"/>
    <hyperlink ref="D39" location="'2 Service Map'!Processes" display="Processes" xr:uid="{13DF8A98-FF91-4721-9C49-AA5C5821ACE9}"/>
    <hyperlink ref="D40" location="'2 Service Map'!Owners" display="Owners" xr:uid="{2B5E8795-DDA0-4159-A216-581A28404CC9}"/>
    <hyperlink ref="D41" location="'2 Service Map'!Resilience__Availability" display="Resilience (Availability)" xr:uid="{7B851E07-5767-4157-83A2-5FB1DC0F7F41}"/>
    <hyperlink ref="D42" location="'2 Service Map'!Resilience__Recovery" display="Resilience (Recovery)" xr:uid="{BA8EE6F5-21B2-4B7B-B235-CA49E50EF6E8}"/>
    <hyperlink ref="D43" location="'2 Service Map'!Vendors_and_Support_Agreements" display="Vendors and Support Agreements" xr:uid="{05EC42CF-D528-4CC8-8D3F-E175A6A1B118}"/>
    <hyperlink ref="D44" location="'2 Service Map'!Users" display="Users" xr:uid="{C90E9C9F-638F-486A-A2FD-2CF07F19545B}"/>
    <hyperlink ref="C225" r:id="rId2" display="https://learn.microsoft.com/en-us/azure/azure-monitor/app/app-map?tabs=net" xr:uid="{2B5B45A0-0A49-486D-9DBD-9820F7D437DF}"/>
    <hyperlink ref="C226" r:id="rId3" display="https://learn.microsoft.com/en-us/azure/azure-monitor/vm/vminsights-maps?source=recommendations" xr:uid="{AF7C9641-C67A-4E4D-8DC2-5DE5809A9C49}"/>
  </hyperlinks>
  <pageMargins left="0.7" right="0.7" top="0.75" bottom="0.75" header="0.3" footer="0.3"/>
  <pageSetup paperSize="9" orientation="portrait" r:id="rId4"/>
  <drawing r:id="rId5"/>
  <tableParts count="20">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s>
  <extLst>
    <ext xmlns:x14="http://schemas.microsoft.com/office/spreadsheetml/2009/9/main" uri="{78C0D931-6437-407d-A8EE-F0AAD7539E65}">
      <x14:conditionalFormattings>
        <x14:conditionalFormatting xmlns:xm="http://schemas.microsoft.com/office/excel/2006/main">
          <x14:cfRule type="cellIs" priority="1" operator="equal" id="{A9AE8809-1CA9-4352-9D19-25C4030F95A0}">
            <xm:f>Data!$L$13</xm:f>
            <x14:dxf>
              <font>
                <color theme="0"/>
              </font>
              <fill>
                <patternFill>
                  <bgColor rgb="FFF25022"/>
                </patternFill>
              </fill>
            </x14:dxf>
          </x14:cfRule>
          <x14:cfRule type="cellIs" priority="2" operator="equal" id="{E0B7A78A-450C-47E4-A29A-FAD862C4C991}">
            <xm:f>Data!$L$12</xm:f>
            <x14:dxf>
              <font>
                <color theme="0"/>
              </font>
              <fill>
                <patternFill>
                  <bgColor rgb="FFF25022"/>
                </patternFill>
              </fill>
            </x14:dxf>
          </x14:cfRule>
          <x14:cfRule type="cellIs" priority="3" operator="equal" id="{5D5860D4-1E4F-48ED-B35C-7DACD00A177E}">
            <xm:f>Data!$L$11</xm:f>
            <x14:dxf>
              <font>
                <color theme="0"/>
              </font>
              <fill>
                <patternFill>
                  <bgColor rgb="FFF25022"/>
                </patternFill>
              </fill>
            </x14:dxf>
          </x14:cfRule>
          <x14:cfRule type="cellIs" priority="4" operator="equal" id="{1E0EAF89-5C9C-43A2-8D75-61EDE7E25DAE}">
            <xm:f>Data!$L$10</xm:f>
            <x14:dxf>
              <font>
                <color theme="0"/>
              </font>
              <fill>
                <patternFill>
                  <bgColor rgb="FFF25022"/>
                </patternFill>
              </fill>
            </x14:dxf>
          </x14:cfRule>
          <x14:cfRule type="cellIs" priority="5" operator="equal" id="{AD885F19-8702-4CA5-AD54-FB1F45AC710E}">
            <xm:f>Data!$L$6</xm:f>
            <x14:dxf>
              <font>
                <color theme="0"/>
              </font>
              <fill>
                <patternFill>
                  <bgColor rgb="FFF25022"/>
                </patternFill>
              </fill>
            </x14:dxf>
          </x14:cfRule>
          <x14:cfRule type="cellIs" priority="6" operator="equal" id="{239B7114-2E5E-4193-B074-E82F6590F102}">
            <xm:f>Data!$L$9</xm:f>
            <x14:dxf>
              <font>
                <color theme="1"/>
              </font>
              <fill>
                <patternFill>
                  <bgColor rgb="FF7FBA00"/>
                </patternFill>
              </fill>
            </x14:dxf>
          </x14:cfRule>
          <x14:cfRule type="cellIs" priority="7" operator="equal" id="{A17C44B8-88D0-4589-8132-F6C84C858814}">
            <xm:f>Data!$L$8</xm:f>
            <x14:dxf>
              <font>
                <color theme="1"/>
              </font>
              <fill>
                <patternFill>
                  <bgColor rgb="FF00A4EF"/>
                </patternFill>
              </fill>
            </x14:dxf>
          </x14:cfRule>
          <x14:cfRule type="cellIs" priority="8" operator="equal" id="{E47E2A13-84BD-4392-9418-8A3EE607CD3D}">
            <xm:f>Data!$L$7</xm:f>
            <x14:dxf>
              <font>
                <color theme="1"/>
              </font>
              <fill>
                <patternFill>
                  <bgColor rgb="FFFFB900"/>
                </patternFill>
              </fill>
            </x14:dxf>
          </x14:cfRule>
          <x14:cfRule type="cellIs" priority="9" operator="equal" id="{4C4D184A-518D-4781-84D0-EDCC067BEFC5}">
            <xm:f>Data!$L$5</xm:f>
            <x14:dxf>
              <font>
                <color theme="0"/>
              </font>
              <fill>
                <patternFill>
                  <bgColor rgb="FFF25022"/>
                </patternFill>
              </fill>
            </x14:dxf>
          </x14:cfRule>
          <x14:cfRule type="cellIs" priority="10" operator="equal" id="{43F0A1BD-6299-411E-A53A-45CE5C07D766}">
            <xm:f>Data!$L$6+Data!$L$14</xm:f>
            <x14:dxf>
              <font>
                <color theme="0"/>
              </font>
              <fill>
                <patternFill>
                  <bgColor rgb="FF747474"/>
                </patternFill>
              </fill>
            </x14:dxf>
          </x14:cfRule>
          <xm:sqref>E14:E15</xm:sqref>
        </x14:conditionalFormatting>
      </x14:conditionalFormatting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86C142-37B4-4170-AE36-EB0894090B7E}">
  <sheetPr>
    <tabColor rgb="FF7FBA00"/>
  </sheetPr>
  <dimension ref="A1:W56"/>
  <sheetViews>
    <sheetView showGridLines="0" showRowColHeaders="0" zoomScaleNormal="100" workbookViewId="0">
      <selection activeCell="A7" sqref="A7"/>
    </sheetView>
  </sheetViews>
  <sheetFormatPr defaultColWidth="0" defaultRowHeight="14.45" zeroHeight="1" outlineLevelRow="1"/>
  <cols>
    <col min="1" max="2" width="5.85546875" customWidth="1"/>
    <col min="3" max="3" width="3.85546875" customWidth="1"/>
    <col min="4" max="4" width="18.85546875" bestFit="1" customWidth="1"/>
    <col min="5" max="5" width="24.85546875" bestFit="1" customWidth="1"/>
    <col min="6" max="6" width="19.42578125" bestFit="1" customWidth="1"/>
    <col min="7" max="7" width="14" customWidth="1"/>
    <col min="8" max="9" width="17.140625" bestFit="1" customWidth="1"/>
    <col min="10" max="10" width="16.140625" bestFit="1" customWidth="1"/>
    <col min="11" max="11" width="17.5703125" bestFit="1" customWidth="1"/>
    <col min="12" max="12" width="13.42578125" bestFit="1" customWidth="1"/>
    <col min="13" max="13" width="13" bestFit="1" customWidth="1"/>
    <col min="14" max="14" width="13.42578125" bestFit="1" customWidth="1"/>
    <col min="15" max="15" width="16.85546875" bestFit="1" customWidth="1"/>
    <col min="16" max="16" width="8.85546875" bestFit="1" customWidth="1"/>
    <col min="17" max="17" width="19.42578125" bestFit="1" customWidth="1"/>
    <col min="18" max="18" width="10.5703125" bestFit="1" customWidth="1"/>
    <col min="19" max="19" width="11.140625" bestFit="1" customWidth="1"/>
    <col min="20" max="21" width="3.85546875" customWidth="1"/>
    <col min="22" max="22" width="83.42578125" hidden="1" customWidth="1"/>
    <col min="23" max="23" width="98.140625" hidden="1" customWidth="1"/>
    <col min="24" max="16384" width="46.85546875" hidden="1"/>
  </cols>
  <sheetData>
    <row r="1" spans="1:21">
      <c r="A1" s="4"/>
      <c r="B1" s="4"/>
      <c r="C1" s="4"/>
      <c r="D1" s="8"/>
      <c r="E1" s="4"/>
      <c r="F1" s="4"/>
      <c r="G1" s="8"/>
      <c r="H1" s="8"/>
      <c r="I1" s="8"/>
      <c r="J1" s="4"/>
      <c r="K1" s="4"/>
      <c r="L1" s="4"/>
      <c r="M1" s="4"/>
      <c r="N1" s="4"/>
      <c r="O1" s="4"/>
      <c r="P1" s="4"/>
      <c r="Q1" s="4"/>
      <c r="R1" s="4"/>
      <c r="S1" s="4"/>
      <c r="T1" s="4"/>
      <c r="U1" s="4"/>
    </row>
    <row r="2" spans="1:21" ht="21">
      <c r="A2" s="4"/>
      <c r="B2" s="4"/>
      <c r="C2" s="618" t="s">
        <v>1073</v>
      </c>
      <c r="D2" s="618"/>
      <c r="E2" s="618"/>
      <c r="F2" s="618"/>
      <c r="G2" s="618"/>
      <c r="H2" s="618"/>
      <c r="I2" s="618"/>
      <c r="J2" s="618"/>
      <c r="K2" s="618"/>
      <c r="L2" s="618"/>
      <c r="M2" s="618"/>
      <c r="N2" s="618"/>
      <c r="O2" s="618"/>
      <c r="P2" s="618"/>
      <c r="Q2" s="618"/>
      <c r="R2" s="618"/>
      <c r="S2" s="618"/>
      <c r="T2" s="181"/>
      <c r="U2" s="4"/>
    </row>
    <row r="3" spans="1:21" ht="14.45" customHeight="1">
      <c r="A3" s="4"/>
      <c r="B3" s="4"/>
      <c r="C3" s="646" t="s">
        <v>1074</v>
      </c>
      <c r="D3" s="646"/>
      <c r="E3" s="646"/>
      <c r="F3" s="646"/>
      <c r="G3" s="646"/>
      <c r="H3" s="646"/>
      <c r="I3" s="646"/>
      <c r="J3" s="646"/>
      <c r="K3" s="646"/>
      <c r="L3" s="646"/>
      <c r="M3" s="646"/>
      <c r="N3" s="646"/>
      <c r="O3" s="646"/>
      <c r="P3" s="646"/>
      <c r="Q3" s="646"/>
      <c r="R3" s="646"/>
      <c r="S3" s="646"/>
      <c r="T3" s="182"/>
      <c r="U3" s="4"/>
    </row>
    <row r="4" spans="1:21">
      <c r="A4" s="4"/>
      <c r="B4" s="4"/>
      <c r="C4" s="4"/>
      <c r="D4" s="8"/>
      <c r="E4" s="4"/>
      <c r="F4" s="4"/>
      <c r="G4" s="8"/>
      <c r="H4" s="8"/>
      <c r="I4" s="8"/>
      <c r="J4" s="4"/>
      <c r="K4" s="4"/>
      <c r="L4" s="4"/>
      <c r="M4" s="4"/>
      <c r="N4" s="4"/>
      <c r="O4" s="4"/>
      <c r="P4" s="4"/>
      <c r="Q4" s="4"/>
      <c r="R4" s="4"/>
      <c r="S4" s="4"/>
      <c r="T4" s="4"/>
      <c r="U4" s="4"/>
    </row>
    <row r="5" spans="1:21">
      <c r="A5" s="4"/>
      <c r="B5" s="4"/>
      <c r="C5" s="7"/>
      <c r="D5" s="54"/>
      <c r="E5" s="7"/>
      <c r="F5" s="7"/>
      <c r="G5" s="54"/>
      <c r="H5" s="54"/>
      <c r="I5" s="54"/>
      <c r="J5" s="7"/>
      <c r="K5" s="7"/>
      <c r="L5" s="7"/>
      <c r="M5" s="7"/>
      <c r="N5" s="7"/>
      <c r="O5" s="7"/>
      <c r="P5" s="7"/>
      <c r="Q5" s="7"/>
      <c r="R5" s="7"/>
      <c r="S5" s="7"/>
      <c r="T5" s="7"/>
      <c r="U5" s="4"/>
    </row>
    <row r="6" spans="1:21">
      <c r="A6" s="4"/>
      <c r="B6" s="4"/>
      <c r="C6" s="7"/>
      <c r="D6" s="107" t="s">
        <v>890</v>
      </c>
      <c r="E6" s="244" t="s">
        <v>891</v>
      </c>
      <c r="F6" s="96"/>
      <c r="G6" s="60"/>
      <c r="H6" s="60"/>
      <c r="I6" s="60"/>
      <c r="J6" s="96"/>
      <c r="K6" s="96"/>
      <c r="L6" s="96"/>
      <c r="M6" s="96"/>
      <c r="N6" s="96"/>
      <c r="O6" s="96"/>
      <c r="P6" s="96"/>
      <c r="Q6" s="96"/>
      <c r="R6" s="96"/>
      <c r="S6" s="96"/>
      <c r="T6" s="96"/>
      <c r="U6" s="4"/>
    </row>
    <row r="7" spans="1:21">
      <c r="A7" s="4"/>
      <c r="B7" s="4"/>
      <c r="C7" s="7"/>
      <c r="D7" s="107" t="s">
        <v>892</v>
      </c>
      <c r="E7" s="244" t="s">
        <v>893</v>
      </c>
      <c r="F7" s="96"/>
      <c r="G7" s="60"/>
      <c r="H7" s="60"/>
      <c r="I7" s="60"/>
      <c r="J7" s="96"/>
      <c r="K7" s="96"/>
      <c r="L7" s="96"/>
      <c r="M7" s="96"/>
      <c r="N7" s="96"/>
      <c r="O7" s="96"/>
      <c r="P7" s="96"/>
      <c r="Q7" s="96"/>
      <c r="R7" s="96"/>
      <c r="S7" s="96"/>
      <c r="T7" s="96"/>
      <c r="U7" s="21"/>
    </row>
    <row r="8" spans="1:21">
      <c r="A8" s="4"/>
      <c r="B8" s="4"/>
      <c r="C8" s="7"/>
      <c r="D8" s="107" t="s">
        <v>117</v>
      </c>
      <c r="E8" s="244" t="s">
        <v>894</v>
      </c>
      <c r="F8" s="96"/>
      <c r="G8" s="60"/>
      <c r="H8" s="60"/>
      <c r="I8" s="60"/>
      <c r="J8" s="96"/>
      <c r="K8" s="96"/>
      <c r="L8" s="96"/>
      <c r="M8" s="96"/>
      <c r="N8" s="96"/>
      <c r="O8" s="96"/>
      <c r="P8" s="96"/>
      <c r="Q8" s="96"/>
      <c r="R8" s="96"/>
      <c r="S8" s="96"/>
      <c r="T8" s="96"/>
      <c r="U8" s="4"/>
    </row>
    <row r="9" spans="1:21">
      <c r="A9" s="4"/>
      <c r="B9" s="4"/>
      <c r="C9" s="7"/>
      <c r="D9" s="107" t="s">
        <v>822</v>
      </c>
      <c r="E9" s="244"/>
      <c r="F9" s="96"/>
      <c r="G9" s="60"/>
      <c r="H9" s="60"/>
      <c r="I9" s="60"/>
      <c r="J9" s="96"/>
      <c r="K9" s="96"/>
      <c r="L9" s="96"/>
      <c r="M9" s="96"/>
      <c r="N9" s="96"/>
      <c r="O9" s="96"/>
      <c r="P9" s="96"/>
      <c r="Q9" s="96"/>
      <c r="R9" s="96"/>
      <c r="S9" s="96"/>
      <c r="T9" s="96"/>
      <c r="U9" s="21"/>
    </row>
    <row r="10" spans="1:21">
      <c r="A10" s="4"/>
      <c r="B10" s="4"/>
      <c r="C10" s="7"/>
      <c r="D10" s="107" t="s">
        <v>895</v>
      </c>
      <c r="E10" s="244"/>
      <c r="F10" s="96"/>
      <c r="G10" s="60"/>
      <c r="H10" s="60"/>
      <c r="I10" s="60"/>
      <c r="J10" s="96"/>
      <c r="K10" s="96"/>
      <c r="L10" s="96"/>
      <c r="M10" s="96"/>
      <c r="N10" s="96"/>
      <c r="O10" s="96"/>
      <c r="P10" s="96"/>
      <c r="Q10" s="96"/>
      <c r="R10" s="96"/>
      <c r="S10" s="96"/>
      <c r="T10" s="96"/>
      <c r="U10" s="4"/>
    </row>
    <row r="11" spans="1:21">
      <c r="A11" s="4"/>
      <c r="B11" s="4"/>
      <c r="C11" s="7"/>
      <c r="D11" s="107" t="s">
        <v>896</v>
      </c>
      <c r="E11" s="244"/>
      <c r="F11" s="96"/>
      <c r="G11" s="60"/>
      <c r="H11" s="60"/>
      <c r="I11" s="60"/>
      <c r="J11" s="96"/>
      <c r="K11" s="96"/>
      <c r="L11" s="96"/>
      <c r="M11" s="96"/>
      <c r="N11" s="96"/>
      <c r="O11" s="96"/>
      <c r="P11" s="96"/>
      <c r="Q11" s="96"/>
      <c r="R11" s="96"/>
      <c r="S11" s="96"/>
      <c r="T11" s="96"/>
      <c r="U11" s="4"/>
    </row>
    <row r="12" spans="1:21">
      <c r="A12" s="4"/>
      <c r="B12" s="4"/>
      <c r="C12" s="7"/>
      <c r="D12" s="107" t="s">
        <v>477</v>
      </c>
      <c r="E12" s="244"/>
      <c r="F12" s="96"/>
      <c r="G12" s="60"/>
      <c r="H12" s="60"/>
      <c r="I12" s="60"/>
      <c r="J12" s="96"/>
      <c r="K12" s="96"/>
      <c r="L12" s="96"/>
      <c r="M12" s="96"/>
      <c r="N12" s="96"/>
      <c r="O12" s="96"/>
      <c r="P12" s="96"/>
      <c r="Q12" s="96"/>
      <c r="R12" s="96"/>
      <c r="S12" s="96"/>
      <c r="T12" s="96"/>
      <c r="U12" s="4"/>
    </row>
    <row r="13" spans="1:21">
      <c r="A13" s="4"/>
      <c r="B13" s="4"/>
      <c r="C13" s="7"/>
      <c r="D13" s="107" t="s">
        <v>897</v>
      </c>
      <c r="E13" s="244" t="s">
        <v>317</v>
      </c>
      <c r="F13" s="96"/>
      <c r="G13" s="60"/>
      <c r="H13" s="60"/>
      <c r="I13" s="60"/>
      <c r="J13" s="96"/>
      <c r="K13" s="96"/>
      <c r="L13" s="96"/>
      <c r="M13" s="96"/>
      <c r="N13" s="96"/>
      <c r="O13" s="96"/>
      <c r="P13" s="96"/>
      <c r="Q13" s="96"/>
      <c r="R13" s="96"/>
      <c r="S13" s="96"/>
      <c r="T13" s="96"/>
      <c r="U13" s="19"/>
    </row>
    <row r="14" spans="1:21">
      <c r="A14" s="4"/>
      <c r="B14" s="4"/>
      <c r="C14" s="7"/>
      <c r="D14" s="107" t="s">
        <v>267</v>
      </c>
      <c r="E14" s="245" t="s">
        <v>328</v>
      </c>
      <c r="F14" s="373"/>
      <c r="G14" s="60"/>
      <c r="H14" s="60"/>
      <c r="I14" s="60"/>
      <c r="J14" s="96"/>
      <c r="K14" s="96"/>
      <c r="L14" s="96"/>
      <c r="M14" s="96"/>
      <c r="N14" s="96"/>
      <c r="O14" s="96"/>
      <c r="P14" s="96"/>
      <c r="Q14" s="96"/>
      <c r="R14" s="96"/>
      <c r="S14" s="96"/>
      <c r="T14" s="96"/>
      <c r="U14" s="4"/>
    </row>
    <row r="15" spans="1:21">
      <c r="A15" s="4"/>
      <c r="B15" s="4"/>
      <c r="C15" s="7"/>
      <c r="D15" s="107" t="s">
        <v>898</v>
      </c>
      <c r="E15" s="372" t="s">
        <v>899</v>
      </c>
      <c r="F15" s="373"/>
      <c r="G15" s="60"/>
      <c r="H15" s="60"/>
      <c r="I15" s="60"/>
      <c r="J15" s="96"/>
      <c r="K15" s="96"/>
      <c r="L15" s="96"/>
      <c r="M15" s="96"/>
      <c r="N15" s="96"/>
      <c r="O15" s="96"/>
      <c r="P15" s="96"/>
      <c r="Q15" s="96"/>
      <c r="R15" s="96"/>
      <c r="S15" s="96"/>
      <c r="T15" s="96"/>
      <c r="U15" s="4"/>
    </row>
    <row r="16" spans="1:21">
      <c r="A16" s="4"/>
      <c r="B16" s="4"/>
      <c r="C16" s="7"/>
      <c r="D16" s="107" t="s">
        <v>1075</v>
      </c>
      <c r="E16" s="246">
        <v>45020</v>
      </c>
      <c r="F16" s="374"/>
      <c r="G16" s="60"/>
      <c r="H16" s="60"/>
      <c r="I16" s="60"/>
      <c r="J16" s="96"/>
      <c r="K16" s="96"/>
      <c r="L16" s="96"/>
      <c r="M16" s="96"/>
      <c r="N16" s="96"/>
      <c r="O16" s="96"/>
      <c r="P16" s="96"/>
      <c r="Q16" s="96"/>
      <c r="R16" s="96"/>
      <c r="S16" s="96"/>
      <c r="T16" s="96"/>
      <c r="U16" s="4"/>
    </row>
    <row r="17" spans="1:21">
      <c r="A17" s="4"/>
      <c r="B17" s="4"/>
      <c r="C17" s="7"/>
      <c r="D17" s="107" t="s">
        <v>1076</v>
      </c>
      <c r="E17" s="246">
        <v>45386</v>
      </c>
      <c r="F17" s="374"/>
      <c r="G17" s="60"/>
      <c r="H17" s="60"/>
      <c r="I17" s="60"/>
      <c r="J17" s="96"/>
      <c r="K17" s="96"/>
      <c r="L17" s="96"/>
      <c r="M17" s="96"/>
      <c r="N17" s="96"/>
      <c r="O17" s="96"/>
      <c r="P17" s="96"/>
      <c r="Q17" s="96"/>
      <c r="R17" s="96"/>
      <c r="S17" s="96"/>
      <c r="T17" s="96"/>
      <c r="U17" s="4"/>
    </row>
    <row r="18" spans="1:21">
      <c r="A18" s="4"/>
      <c r="B18" s="4"/>
      <c r="C18" s="7"/>
      <c r="D18" s="107" t="s">
        <v>902</v>
      </c>
      <c r="E18" s="247">
        <v>43160</v>
      </c>
      <c r="F18" s="97"/>
      <c r="G18" s="60"/>
      <c r="H18" s="60"/>
      <c r="I18" s="60"/>
      <c r="J18" s="96"/>
      <c r="K18" s="96"/>
      <c r="L18" s="96"/>
      <c r="M18" s="96"/>
      <c r="N18" s="96"/>
      <c r="O18" s="96"/>
      <c r="P18" s="96"/>
      <c r="Q18" s="96"/>
      <c r="R18" s="96"/>
      <c r="S18" s="96"/>
      <c r="T18" s="96"/>
      <c r="U18" s="4"/>
    </row>
    <row r="19" spans="1:21">
      <c r="A19" s="4"/>
      <c r="B19" s="4"/>
      <c r="C19" s="7"/>
      <c r="D19" s="107" t="s">
        <v>903</v>
      </c>
      <c r="E19" s="247" t="s">
        <v>904</v>
      </c>
      <c r="F19" s="97"/>
      <c r="G19" s="60"/>
      <c r="H19" s="60"/>
      <c r="I19" s="60"/>
      <c r="J19" s="96"/>
      <c r="K19" s="96"/>
      <c r="L19" s="96"/>
      <c r="M19" s="96"/>
      <c r="N19" s="96"/>
      <c r="O19" s="96"/>
      <c r="P19" s="96"/>
      <c r="Q19" s="96"/>
      <c r="R19" s="96"/>
      <c r="S19" s="96"/>
      <c r="T19" s="96"/>
      <c r="U19" s="4"/>
    </row>
    <row r="20" spans="1:21">
      <c r="A20" s="4"/>
      <c r="B20" s="4"/>
      <c r="C20" s="7"/>
      <c r="D20" s="107" t="s">
        <v>905</v>
      </c>
      <c r="E20" s="247" t="s">
        <v>906</v>
      </c>
      <c r="F20" s="97"/>
      <c r="G20" s="60"/>
      <c r="H20" s="60"/>
      <c r="I20" s="60"/>
      <c r="J20" s="96"/>
      <c r="K20" s="96"/>
      <c r="L20" s="96"/>
      <c r="M20" s="96"/>
      <c r="N20" s="96"/>
      <c r="O20" s="96"/>
      <c r="P20" s="96"/>
      <c r="Q20" s="96"/>
      <c r="R20" s="96"/>
      <c r="S20" s="96"/>
      <c r="T20" s="96"/>
      <c r="U20" s="4"/>
    </row>
    <row r="21" spans="1:21">
      <c r="A21" s="4"/>
      <c r="B21" s="4"/>
      <c r="C21" s="7"/>
      <c r="D21" s="96"/>
      <c r="E21" s="97"/>
      <c r="F21" s="97"/>
      <c r="G21" s="60"/>
      <c r="H21" s="60"/>
      <c r="I21" s="60"/>
      <c r="J21" s="96"/>
      <c r="K21" s="96"/>
      <c r="L21" s="96"/>
      <c r="M21" s="96"/>
      <c r="N21" s="96"/>
      <c r="O21" s="96"/>
      <c r="P21" s="96"/>
      <c r="Q21" s="96"/>
      <c r="R21" s="96"/>
      <c r="S21" s="96"/>
      <c r="T21" s="96"/>
      <c r="U21" s="4"/>
    </row>
    <row r="22" spans="1:21">
      <c r="A22" s="4"/>
      <c r="B22" s="4"/>
      <c r="C22" s="4"/>
      <c r="D22" s="20"/>
      <c r="E22" s="35"/>
      <c r="F22" s="32"/>
      <c r="G22" s="20"/>
      <c r="H22" s="20"/>
      <c r="I22" s="20"/>
      <c r="J22" s="35"/>
      <c r="K22" s="35"/>
      <c r="L22" s="35"/>
      <c r="M22" s="35"/>
      <c r="N22" s="35"/>
      <c r="O22" s="35"/>
      <c r="P22" s="35"/>
      <c r="Q22" s="35"/>
      <c r="R22" s="35"/>
      <c r="S22" s="35"/>
      <c r="T22" s="35"/>
      <c r="U22" s="4"/>
    </row>
    <row r="23" spans="1:21">
      <c r="A23" s="4"/>
      <c r="B23" s="4"/>
      <c r="C23" s="7"/>
      <c r="D23" s="60"/>
      <c r="E23" s="96"/>
      <c r="F23" s="97"/>
      <c r="G23" s="60"/>
      <c r="H23" s="60"/>
      <c r="I23" s="60"/>
      <c r="J23" s="96"/>
      <c r="K23" s="96"/>
      <c r="L23" s="96"/>
      <c r="M23" s="96"/>
      <c r="N23" s="96"/>
      <c r="O23" s="96"/>
      <c r="P23" s="96"/>
      <c r="Q23" s="96"/>
      <c r="R23" s="96"/>
      <c r="S23" s="96"/>
      <c r="T23" s="96"/>
      <c r="U23" s="4"/>
    </row>
    <row r="24" spans="1:21" ht="29.1">
      <c r="A24" s="4"/>
      <c r="B24" s="4"/>
      <c r="C24" s="7"/>
      <c r="D24" s="662" t="s">
        <v>1077</v>
      </c>
      <c r="E24" s="664" t="s">
        <v>1078</v>
      </c>
      <c r="F24" s="665"/>
      <c r="G24" s="665"/>
      <c r="H24" s="665"/>
      <c r="I24" s="665"/>
      <c r="J24" s="665"/>
      <c r="K24" s="665"/>
      <c r="L24" s="665"/>
      <c r="M24" s="665"/>
      <c r="N24" s="53" t="s">
        <v>1079</v>
      </c>
      <c r="O24" s="225" t="s">
        <v>1080</v>
      </c>
      <c r="P24" s="7"/>
      <c r="Q24" s="7"/>
      <c r="R24" s="7"/>
      <c r="S24" s="7"/>
      <c r="T24" s="7"/>
      <c r="U24" s="4"/>
    </row>
    <row r="25" spans="1:21" ht="52.5" customHeight="1">
      <c r="A25" s="4"/>
      <c r="B25" s="4"/>
      <c r="C25" s="7"/>
      <c r="D25" s="663"/>
      <c r="E25" s="666" t="s">
        <v>1081</v>
      </c>
      <c r="F25" s="667"/>
      <c r="G25" s="667"/>
      <c r="H25" s="667"/>
      <c r="I25" s="667"/>
      <c r="J25" s="667"/>
      <c r="K25" s="667"/>
      <c r="L25" s="667"/>
      <c r="M25" s="667"/>
      <c r="N25" s="226" t="s">
        <v>328</v>
      </c>
      <c r="O25" s="52" t="s">
        <v>1082</v>
      </c>
      <c r="P25" s="7"/>
      <c r="Q25" s="7"/>
      <c r="R25" s="7"/>
      <c r="S25" s="7"/>
      <c r="T25" s="7"/>
      <c r="U25" s="4"/>
    </row>
    <row r="26" spans="1:21">
      <c r="A26" s="4"/>
      <c r="B26" s="4"/>
      <c r="C26" s="7"/>
      <c r="D26" s="60"/>
      <c r="E26" s="96"/>
      <c r="F26" s="97"/>
      <c r="G26" s="60"/>
      <c r="H26" s="60"/>
      <c r="I26" s="60"/>
      <c r="J26" s="96"/>
      <c r="K26" s="96"/>
      <c r="L26" s="96"/>
      <c r="M26" s="96"/>
      <c r="N26" s="96"/>
      <c r="O26" s="96"/>
      <c r="P26" s="96"/>
      <c r="Q26" s="96"/>
      <c r="R26" s="96"/>
      <c r="S26" s="96"/>
      <c r="T26" s="96"/>
      <c r="U26" s="4"/>
    </row>
    <row r="27" spans="1:21">
      <c r="A27" s="4"/>
      <c r="B27" s="4"/>
      <c r="C27" s="4"/>
      <c r="D27" s="20"/>
      <c r="E27" s="35"/>
      <c r="F27" s="32"/>
      <c r="G27" s="20"/>
      <c r="H27" s="20"/>
      <c r="I27" s="20"/>
      <c r="J27" s="35"/>
      <c r="K27" s="35"/>
      <c r="L27" s="35"/>
      <c r="M27" s="35"/>
      <c r="N27" s="35"/>
      <c r="O27" s="35"/>
      <c r="P27" s="35"/>
      <c r="Q27" s="35"/>
      <c r="R27" s="35"/>
      <c r="S27" s="35"/>
      <c r="T27" s="35"/>
      <c r="U27" s="4"/>
    </row>
    <row r="28" spans="1:21">
      <c r="A28" s="4"/>
      <c r="B28" s="4"/>
      <c r="C28" s="7"/>
      <c r="D28" s="60"/>
      <c r="E28" s="96"/>
      <c r="F28" s="97"/>
      <c r="G28" s="60"/>
      <c r="H28" s="60"/>
      <c r="I28" s="60"/>
      <c r="J28" s="96"/>
      <c r="K28" s="96"/>
      <c r="L28" s="96"/>
      <c r="M28" s="96"/>
      <c r="N28" s="96"/>
      <c r="O28" s="96"/>
      <c r="P28" s="96"/>
      <c r="Q28" s="96"/>
      <c r="R28" s="96"/>
      <c r="S28" s="96"/>
      <c r="T28" s="96"/>
      <c r="U28" s="4"/>
    </row>
    <row r="29" spans="1:21" ht="43.5">
      <c r="A29" s="4"/>
      <c r="B29" s="4"/>
      <c r="C29" s="7"/>
      <c r="D29" s="671" t="s">
        <v>1083</v>
      </c>
      <c r="E29" s="36" t="s">
        <v>1084</v>
      </c>
      <c r="F29" s="37" t="s">
        <v>196</v>
      </c>
      <c r="G29" s="38" t="s">
        <v>190</v>
      </c>
      <c r="H29" s="39" t="s">
        <v>1085</v>
      </c>
      <c r="I29" s="38" t="s">
        <v>1086</v>
      </c>
      <c r="J29" s="39" t="s">
        <v>169</v>
      </c>
      <c r="K29" s="96"/>
      <c r="L29" s="96"/>
      <c r="M29" s="96"/>
      <c r="N29" s="96"/>
      <c r="O29" s="96"/>
      <c r="P29" s="96"/>
      <c r="Q29" s="96"/>
      <c r="R29" s="96"/>
      <c r="S29" s="96"/>
      <c r="T29" s="96"/>
      <c r="U29" s="4"/>
    </row>
    <row r="30" spans="1:21">
      <c r="A30" s="4"/>
      <c r="B30" s="4"/>
      <c r="C30" s="7"/>
      <c r="D30" s="672"/>
      <c r="E30" s="29">
        <v>0.99990000000000001</v>
      </c>
      <c r="F30" s="30">
        <v>4.1666666666666664E-2</v>
      </c>
      <c r="G30" s="25">
        <v>8.3333333333333329E-2</v>
      </c>
      <c r="H30" s="22" t="s">
        <v>1087</v>
      </c>
      <c r="I30" s="44" t="s">
        <v>1088</v>
      </c>
      <c r="J30" s="26" t="s">
        <v>1089</v>
      </c>
      <c r="K30" s="96"/>
      <c r="L30" s="96"/>
      <c r="M30" s="96"/>
      <c r="N30" s="96"/>
      <c r="O30" s="96"/>
      <c r="P30" s="96"/>
      <c r="Q30" s="96"/>
      <c r="R30" s="96"/>
      <c r="S30" s="96"/>
      <c r="T30" s="96"/>
      <c r="U30" s="4"/>
    </row>
    <row r="31" spans="1:21">
      <c r="A31" s="4"/>
      <c r="B31" s="4"/>
      <c r="C31" s="7"/>
      <c r="D31" s="60"/>
      <c r="E31" s="96"/>
      <c r="F31" s="96"/>
      <c r="G31" s="96"/>
      <c r="H31" s="96"/>
      <c r="I31" s="96"/>
      <c r="J31" s="96"/>
      <c r="K31" s="96"/>
      <c r="L31" s="96"/>
      <c r="M31" s="96"/>
      <c r="N31" s="96"/>
      <c r="O31" s="96"/>
      <c r="P31" s="96"/>
      <c r="Q31" s="96"/>
      <c r="R31" s="96"/>
      <c r="S31" s="96"/>
      <c r="T31" s="96"/>
      <c r="U31" s="4"/>
    </row>
    <row r="32" spans="1:21">
      <c r="A32" s="4"/>
      <c r="B32" s="4"/>
      <c r="C32" s="4"/>
      <c r="D32" s="20"/>
      <c r="E32" s="35"/>
      <c r="F32" s="35"/>
      <c r="G32" s="35"/>
      <c r="H32" s="35"/>
      <c r="I32" s="35"/>
      <c r="J32" s="35"/>
      <c r="K32" s="35"/>
      <c r="L32" s="35"/>
      <c r="M32" s="35"/>
      <c r="N32" s="35"/>
      <c r="O32" s="35"/>
      <c r="P32" s="35"/>
      <c r="Q32" s="35"/>
      <c r="R32" s="35"/>
      <c r="S32" s="35"/>
      <c r="T32" s="35"/>
      <c r="U32" s="4"/>
    </row>
    <row r="33" spans="1:21">
      <c r="A33" s="4"/>
      <c r="B33" s="4"/>
      <c r="C33" s="7"/>
      <c r="D33" s="60"/>
      <c r="E33" s="96"/>
      <c r="F33" s="96"/>
      <c r="G33" s="96"/>
      <c r="H33" s="96"/>
      <c r="I33" s="96"/>
      <c r="J33" s="96"/>
      <c r="K33" s="96"/>
      <c r="L33" s="96"/>
      <c r="M33" s="96"/>
      <c r="N33" s="96"/>
      <c r="O33" s="96"/>
      <c r="P33" s="96"/>
      <c r="Q33" s="96"/>
      <c r="R33" s="96"/>
      <c r="S33" s="96"/>
      <c r="T33" s="96"/>
      <c r="U33" s="4"/>
    </row>
    <row r="34" spans="1:21" ht="57.95">
      <c r="A34" s="4"/>
      <c r="B34" s="4"/>
      <c r="C34" s="7"/>
      <c r="D34" s="668" t="s">
        <v>1090</v>
      </c>
      <c r="E34" s="40" t="s">
        <v>1091</v>
      </c>
      <c r="F34" s="33" t="s">
        <v>1092</v>
      </c>
      <c r="G34" s="38" t="s">
        <v>1093</v>
      </c>
      <c r="H34" s="39" t="s">
        <v>1094</v>
      </c>
      <c r="I34" s="38" t="s">
        <v>1095</v>
      </c>
      <c r="J34" s="39" t="s">
        <v>1096</v>
      </c>
      <c r="K34" s="39" t="s">
        <v>1097</v>
      </c>
      <c r="L34" s="38" t="s">
        <v>1098</v>
      </c>
      <c r="M34" s="39" t="s">
        <v>193</v>
      </c>
      <c r="N34" s="38" t="s">
        <v>187</v>
      </c>
      <c r="O34" s="39" t="s">
        <v>1099</v>
      </c>
      <c r="P34" s="38" t="s">
        <v>1100</v>
      </c>
      <c r="Q34" s="39" t="s">
        <v>1101</v>
      </c>
      <c r="R34" s="41" t="s">
        <v>1102</v>
      </c>
      <c r="S34" s="39" t="s">
        <v>1103</v>
      </c>
      <c r="T34" s="227"/>
      <c r="U34" s="4"/>
    </row>
    <row r="35" spans="1:21">
      <c r="A35" s="4"/>
      <c r="B35" s="4"/>
      <c r="C35" s="7"/>
      <c r="D35" s="669"/>
      <c r="E35" s="42">
        <v>45020</v>
      </c>
      <c r="F35" s="31"/>
      <c r="G35" s="23">
        <v>0.99990000000000001</v>
      </c>
      <c r="H35" s="24">
        <v>4.1666666666666664E-2</v>
      </c>
      <c r="I35" s="25">
        <v>8.3333333333333329E-2</v>
      </c>
      <c r="J35" s="26" t="s">
        <v>1104</v>
      </c>
      <c r="K35" s="26" t="s">
        <v>1088</v>
      </c>
      <c r="L35" s="23">
        <v>0.99990000000000001</v>
      </c>
      <c r="M35" s="24">
        <v>4.1666666666666664E-2</v>
      </c>
      <c r="N35" s="25">
        <v>8.3333333333333329E-2</v>
      </c>
      <c r="O35" s="26" t="s">
        <v>1105</v>
      </c>
      <c r="P35" s="27" t="s">
        <v>1106</v>
      </c>
      <c r="Q35" s="43">
        <v>45020</v>
      </c>
      <c r="R35" s="27" t="s">
        <v>1107</v>
      </c>
      <c r="S35" s="26" t="s">
        <v>1107</v>
      </c>
      <c r="T35" s="96"/>
      <c r="U35" s="4"/>
    </row>
    <row r="36" spans="1:21">
      <c r="A36" s="4"/>
      <c r="B36" s="4"/>
      <c r="C36" s="7"/>
      <c r="D36" s="669"/>
      <c r="E36" s="42">
        <v>44655</v>
      </c>
      <c r="F36" s="31"/>
      <c r="G36" s="23">
        <v>0.99990000000000001</v>
      </c>
      <c r="H36" s="24">
        <v>4.1666666666666664E-2</v>
      </c>
      <c r="I36" s="25">
        <v>8.3333333333333329E-2</v>
      </c>
      <c r="J36" s="26" t="s">
        <v>1104</v>
      </c>
      <c r="K36" s="26" t="s">
        <v>1088</v>
      </c>
      <c r="L36" s="23">
        <v>0.99990000000000001</v>
      </c>
      <c r="M36" s="24">
        <v>4.1666666666666664E-2</v>
      </c>
      <c r="N36" s="25">
        <v>8.3333333333333329E-2</v>
      </c>
      <c r="O36" s="26" t="s">
        <v>1108</v>
      </c>
      <c r="P36" s="27" t="s">
        <v>1109</v>
      </c>
      <c r="Q36" s="43">
        <v>44655</v>
      </c>
      <c r="R36" s="27" t="s">
        <v>1107</v>
      </c>
      <c r="S36" s="26" t="s">
        <v>1107</v>
      </c>
      <c r="T36" s="96"/>
      <c r="U36" s="4"/>
    </row>
    <row r="37" spans="1:21">
      <c r="A37" s="4"/>
      <c r="B37" s="4"/>
      <c r="C37" s="7"/>
      <c r="D37" s="669"/>
      <c r="E37" s="42">
        <v>44288</v>
      </c>
      <c r="F37" s="31"/>
      <c r="G37" s="23">
        <v>0.99990000000000001</v>
      </c>
      <c r="H37" s="24">
        <v>4.1666666666666664E-2</v>
      </c>
      <c r="I37" s="25">
        <v>8.3333333333333329E-2</v>
      </c>
      <c r="J37" s="26" t="s">
        <v>1104</v>
      </c>
      <c r="K37" s="26" t="s">
        <v>1088</v>
      </c>
      <c r="L37" s="23">
        <v>0.99990000000000001</v>
      </c>
      <c r="M37" s="24">
        <v>4.1666666666666664E-2</v>
      </c>
      <c r="N37" s="25">
        <v>8.3333333333333329E-2</v>
      </c>
      <c r="O37" s="26" t="s">
        <v>1105</v>
      </c>
      <c r="P37" s="27" t="s">
        <v>1110</v>
      </c>
      <c r="Q37" s="43">
        <v>44288</v>
      </c>
      <c r="R37" s="27" t="s">
        <v>1107</v>
      </c>
      <c r="S37" s="26" t="s">
        <v>1107</v>
      </c>
      <c r="T37" s="96"/>
      <c r="U37" s="4"/>
    </row>
    <row r="38" spans="1:21">
      <c r="A38" s="4"/>
      <c r="B38" s="4"/>
      <c r="C38" s="7"/>
      <c r="D38" s="669"/>
      <c r="E38" s="42">
        <v>43924</v>
      </c>
      <c r="F38" s="31"/>
      <c r="G38" s="23">
        <v>0.99990000000000001</v>
      </c>
      <c r="H38" s="24">
        <v>4.1666666666666664E-2</v>
      </c>
      <c r="I38" s="25">
        <v>8.3333333333333329E-2</v>
      </c>
      <c r="J38" s="26" t="s">
        <v>1104</v>
      </c>
      <c r="K38" s="26" t="s">
        <v>1088</v>
      </c>
      <c r="L38" s="23">
        <v>0.99990000000000001</v>
      </c>
      <c r="M38" s="24">
        <v>4.1666666666666664E-2</v>
      </c>
      <c r="N38" s="25">
        <v>8.3333333333333329E-2</v>
      </c>
      <c r="O38" s="26" t="s">
        <v>1105</v>
      </c>
      <c r="P38" s="27" t="s">
        <v>1111</v>
      </c>
      <c r="Q38" s="43">
        <v>43924</v>
      </c>
      <c r="R38" s="27" t="s">
        <v>1107</v>
      </c>
      <c r="S38" s="26" t="s">
        <v>1107</v>
      </c>
      <c r="T38" s="96"/>
      <c r="U38" s="4"/>
    </row>
    <row r="39" spans="1:21">
      <c r="A39" s="4"/>
      <c r="B39" s="4"/>
      <c r="C39" s="7"/>
      <c r="D39" s="669"/>
      <c r="E39" s="42">
        <v>43557</v>
      </c>
      <c r="F39" s="31"/>
      <c r="G39" s="23">
        <v>0.99990000000000001</v>
      </c>
      <c r="H39" s="24">
        <v>4.1666666666666664E-2</v>
      </c>
      <c r="I39" s="25">
        <v>8.3333333333333329E-2</v>
      </c>
      <c r="J39" s="26" t="s">
        <v>1104</v>
      </c>
      <c r="K39" s="26" t="s">
        <v>1088</v>
      </c>
      <c r="L39" s="23">
        <v>0.99990000000000001</v>
      </c>
      <c r="M39" s="24">
        <v>4.1666666666666664E-2</v>
      </c>
      <c r="N39" s="25">
        <v>8.3333333333333329E-2</v>
      </c>
      <c r="O39" s="26" t="s">
        <v>1105</v>
      </c>
      <c r="P39" s="27" t="s">
        <v>1112</v>
      </c>
      <c r="Q39" s="43">
        <v>43557</v>
      </c>
      <c r="R39" s="27" t="s">
        <v>1107</v>
      </c>
      <c r="S39" s="26" t="s">
        <v>1107</v>
      </c>
      <c r="T39" s="96"/>
      <c r="U39" s="4"/>
    </row>
    <row r="40" spans="1:21">
      <c r="A40" s="4"/>
      <c r="B40" s="4"/>
      <c r="C40" s="7"/>
      <c r="D40" s="670"/>
      <c r="E40" s="42">
        <v>43199</v>
      </c>
      <c r="F40" s="31"/>
      <c r="G40" s="23">
        <v>0.99990000000000001</v>
      </c>
      <c r="H40" s="24">
        <v>4.1666666666666664E-2</v>
      </c>
      <c r="I40" s="25">
        <v>8.3333333333333329E-2</v>
      </c>
      <c r="J40" s="26" t="s">
        <v>1104</v>
      </c>
      <c r="K40" s="26" t="s">
        <v>1088</v>
      </c>
      <c r="L40" s="23">
        <v>0.99990000000000001</v>
      </c>
      <c r="M40" s="24">
        <v>4.1666666666666664E-2</v>
      </c>
      <c r="N40" s="25">
        <v>8.3333333333333329E-2</v>
      </c>
      <c r="O40" s="26" t="s">
        <v>1105</v>
      </c>
      <c r="P40" s="28" t="s">
        <v>1113</v>
      </c>
      <c r="Q40" s="43">
        <v>43199</v>
      </c>
      <c r="R40" s="27" t="s">
        <v>1107</v>
      </c>
      <c r="S40" s="26" t="s">
        <v>1107</v>
      </c>
      <c r="T40" s="96"/>
      <c r="U40" s="4"/>
    </row>
    <row r="41" spans="1:21">
      <c r="A41" s="4"/>
      <c r="B41" s="4"/>
      <c r="C41" s="7"/>
      <c r="D41" s="96"/>
      <c r="E41" s="96"/>
      <c r="F41" s="96"/>
      <c r="G41" s="96"/>
      <c r="H41" s="96"/>
      <c r="I41" s="96"/>
      <c r="J41" s="96"/>
      <c r="K41" s="96"/>
      <c r="L41" s="96"/>
      <c r="M41" s="96"/>
      <c r="N41" s="96"/>
      <c r="O41" s="96"/>
      <c r="P41" s="96"/>
      <c r="Q41" s="96"/>
      <c r="R41" s="96"/>
      <c r="S41" s="96"/>
      <c r="T41" s="96"/>
      <c r="U41" s="4"/>
    </row>
    <row r="42" spans="1:21">
      <c r="A42" s="4"/>
      <c r="B42" s="4"/>
      <c r="C42" s="4"/>
      <c r="D42" s="35"/>
      <c r="E42" s="35"/>
      <c r="F42" s="35"/>
      <c r="G42" s="35"/>
      <c r="H42" s="35"/>
      <c r="I42" s="35"/>
      <c r="J42" s="35"/>
      <c r="K42" s="35"/>
      <c r="L42" s="35"/>
      <c r="M42" s="35"/>
      <c r="N42" s="35"/>
      <c r="O42" s="35"/>
      <c r="P42" s="35"/>
      <c r="Q42" s="35"/>
      <c r="R42" s="35"/>
      <c r="S42" s="35"/>
      <c r="T42" s="35"/>
      <c r="U42" s="4"/>
    </row>
    <row r="43" spans="1:21">
      <c r="A43" s="4"/>
      <c r="B43" s="4"/>
      <c r="C43" s="7"/>
      <c r="D43" s="96"/>
      <c r="E43" s="96"/>
      <c r="F43" s="96"/>
      <c r="G43" s="96"/>
      <c r="H43" s="96"/>
      <c r="I43" s="96"/>
      <c r="J43" s="96"/>
      <c r="K43" s="96"/>
      <c r="L43" s="96"/>
      <c r="M43" s="96"/>
      <c r="N43" s="96"/>
      <c r="O43" s="96"/>
      <c r="P43" s="96"/>
      <c r="Q43" s="96"/>
      <c r="R43" s="96"/>
      <c r="S43" s="96"/>
      <c r="T43" s="96"/>
      <c r="U43" s="4"/>
    </row>
    <row r="44" spans="1:21" ht="43.5">
      <c r="A44" s="4"/>
      <c r="B44" s="4"/>
      <c r="C44" s="7"/>
      <c r="D44" s="659" t="s">
        <v>1114</v>
      </c>
      <c r="E44" s="50" t="s">
        <v>1115</v>
      </c>
      <c r="F44" s="37" t="s">
        <v>1116</v>
      </c>
      <c r="G44" s="51" t="s">
        <v>905</v>
      </c>
      <c r="H44" s="39" t="s">
        <v>1117</v>
      </c>
      <c r="I44" s="38" t="s">
        <v>1118</v>
      </c>
      <c r="J44" s="39" t="s">
        <v>1119</v>
      </c>
      <c r="K44" s="38" t="s">
        <v>1120</v>
      </c>
      <c r="L44" s="39" t="s">
        <v>1121</v>
      </c>
      <c r="M44" s="96"/>
      <c r="N44" s="96"/>
      <c r="O44" s="96"/>
      <c r="P44" s="96"/>
      <c r="Q44" s="96"/>
      <c r="R44" s="96"/>
      <c r="S44" s="96"/>
      <c r="T44" s="96"/>
      <c r="U44" s="35"/>
    </row>
    <row r="45" spans="1:21" ht="29.1">
      <c r="A45" s="4"/>
      <c r="B45" s="4"/>
      <c r="C45" s="7"/>
      <c r="D45" s="660"/>
      <c r="E45" s="46" t="s">
        <v>976</v>
      </c>
      <c r="F45" s="34" t="s">
        <v>1122</v>
      </c>
      <c r="G45" s="48" t="s">
        <v>1123</v>
      </c>
      <c r="H45" s="22" t="s">
        <v>317</v>
      </c>
      <c r="I45" s="44" t="s">
        <v>317</v>
      </c>
      <c r="J45" s="22" t="s">
        <v>317</v>
      </c>
      <c r="K45" s="44" t="s">
        <v>441</v>
      </c>
      <c r="L45" s="49" t="s">
        <v>326</v>
      </c>
      <c r="M45" s="96"/>
      <c r="N45" s="96"/>
      <c r="O45" s="96"/>
      <c r="P45" s="96"/>
      <c r="Q45" s="96"/>
      <c r="R45" s="96"/>
      <c r="S45" s="96"/>
      <c r="T45" s="96"/>
      <c r="U45" s="35"/>
    </row>
    <row r="46" spans="1:21" ht="29.1">
      <c r="A46" s="4"/>
      <c r="B46" s="4"/>
      <c r="C46" s="7"/>
      <c r="D46" s="660"/>
      <c r="E46" s="46" t="s">
        <v>977</v>
      </c>
      <c r="F46" s="34" t="s">
        <v>1122</v>
      </c>
      <c r="G46" s="48" t="s">
        <v>1123</v>
      </c>
      <c r="H46" s="22" t="s">
        <v>317</v>
      </c>
      <c r="I46" s="44" t="s">
        <v>317</v>
      </c>
      <c r="J46" s="22" t="s">
        <v>317</v>
      </c>
      <c r="K46" s="44" t="s">
        <v>441</v>
      </c>
      <c r="L46" s="49" t="s">
        <v>328</v>
      </c>
      <c r="M46" s="96"/>
      <c r="N46" s="96"/>
      <c r="O46" s="96"/>
      <c r="P46" s="96"/>
      <c r="Q46" s="96"/>
      <c r="R46" s="96"/>
      <c r="S46" s="96"/>
      <c r="T46" s="96"/>
      <c r="U46" s="35"/>
    </row>
    <row r="47" spans="1:21" ht="29.1">
      <c r="A47" s="4"/>
      <c r="B47" s="4"/>
      <c r="C47" s="7"/>
      <c r="D47" s="660"/>
      <c r="E47" s="45" t="s">
        <v>1124</v>
      </c>
      <c r="F47" s="34" t="s">
        <v>1122</v>
      </c>
      <c r="G47" s="44" t="s">
        <v>1125</v>
      </c>
      <c r="H47" s="22" t="s">
        <v>317</v>
      </c>
      <c r="I47" s="44" t="s">
        <v>317</v>
      </c>
      <c r="J47" s="22" t="s">
        <v>317</v>
      </c>
      <c r="K47" s="44" t="s">
        <v>441</v>
      </c>
      <c r="L47" s="49" t="s">
        <v>326</v>
      </c>
      <c r="M47" s="96"/>
      <c r="N47" s="96"/>
      <c r="O47" s="96"/>
      <c r="P47" s="96"/>
      <c r="Q47" s="96"/>
      <c r="R47" s="96"/>
      <c r="S47" s="96"/>
      <c r="T47" s="96"/>
      <c r="U47" s="35"/>
    </row>
    <row r="48" spans="1:21" ht="29.1">
      <c r="A48" s="4"/>
      <c r="B48" s="4"/>
      <c r="C48" s="7"/>
      <c r="D48" s="660"/>
      <c r="E48" s="46" t="s">
        <v>978</v>
      </c>
      <c r="F48" s="34" t="s">
        <v>1122</v>
      </c>
      <c r="G48" s="48" t="s">
        <v>1123</v>
      </c>
      <c r="H48" s="22" t="s">
        <v>317</v>
      </c>
      <c r="I48" s="44" t="s">
        <v>317</v>
      </c>
      <c r="J48" s="22" t="s">
        <v>317</v>
      </c>
      <c r="K48" s="44" t="s">
        <v>441</v>
      </c>
      <c r="L48" s="49" t="s">
        <v>328</v>
      </c>
      <c r="M48" s="7"/>
      <c r="N48" s="7"/>
      <c r="O48" s="7"/>
      <c r="P48" s="7"/>
      <c r="Q48" s="7"/>
      <c r="R48" s="7"/>
      <c r="S48" s="7"/>
      <c r="T48" s="7"/>
      <c r="U48" s="4"/>
    </row>
    <row r="49" spans="1:21" ht="29.1">
      <c r="A49" s="4"/>
      <c r="B49" s="4"/>
      <c r="C49" s="7"/>
      <c r="D49" s="660"/>
      <c r="E49" s="46" t="s">
        <v>984</v>
      </c>
      <c r="F49" s="34" t="s">
        <v>1122</v>
      </c>
      <c r="G49" s="44" t="s">
        <v>1125</v>
      </c>
      <c r="H49" s="22" t="s">
        <v>317</v>
      </c>
      <c r="I49" s="44" t="s">
        <v>317</v>
      </c>
      <c r="J49" s="22" t="s">
        <v>317</v>
      </c>
      <c r="K49" s="44" t="s">
        <v>441</v>
      </c>
      <c r="L49" s="49" t="s">
        <v>328</v>
      </c>
      <c r="M49" s="7"/>
      <c r="N49" s="7"/>
      <c r="O49" s="7"/>
      <c r="P49" s="7"/>
      <c r="Q49" s="7"/>
      <c r="R49" s="7"/>
      <c r="S49" s="7"/>
      <c r="T49" s="7"/>
      <c r="U49" s="4"/>
    </row>
    <row r="50" spans="1:21" ht="29.1">
      <c r="A50" s="4"/>
      <c r="B50" s="4"/>
      <c r="C50" s="7"/>
      <c r="D50" s="661"/>
      <c r="E50" s="46" t="s">
        <v>986</v>
      </c>
      <c r="F50" s="47" t="s">
        <v>1126</v>
      </c>
      <c r="G50" s="27" t="s">
        <v>1127</v>
      </c>
      <c r="H50" s="22" t="s">
        <v>317</v>
      </c>
      <c r="I50" s="44" t="s">
        <v>317</v>
      </c>
      <c r="J50" s="22" t="s">
        <v>317</v>
      </c>
      <c r="K50" s="44" t="s">
        <v>441</v>
      </c>
      <c r="L50" s="49" t="s">
        <v>328</v>
      </c>
      <c r="M50" s="7"/>
      <c r="N50" s="7"/>
      <c r="O50" s="7"/>
      <c r="P50" s="7"/>
      <c r="Q50" s="7"/>
      <c r="R50" s="7"/>
      <c r="S50" s="7"/>
      <c r="T50" s="7"/>
      <c r="U50" s="4"/>
    </row>
    <row r="51" spans="1:21">
      <c r="A51" s="4"/>
      <c r="B51" s="4"/>
      <c r="C51" s="7"/>
      <c r="D51" s="60"/>
      <c r="E51" s="60"/>
      <c r="F51" s="96"/>
      <c r="G51" s="96"/>
      <c r="H51" s="60"/>
      <c r="I51" s="60"/>
      <c r="J51" s="60"/>
      <c r="K51" s="60"/>
      <c r="L51" s="228"/>
      <c r="M51" s="7"/>
      <c r="N51" s="7"/>
      <c r="O51" s="7"/>
      <c r="P51" s="7"/>
      <c r="Q51" s="7"/>
      <c r="R51" s="7"/>
      <c r="S51" s="7"/>
      <c r="T51" s="7"/>
      <c r="U51" s="4"/>
    </row>
    <row r="52" spans="1:21">
      <c r="A52" s="4"/>
      <c r="B52" s="4"/>
      <c r="C52" s="4"/>
      <c r="D52" s="4"/>
      <c r="E52" s="4"/>
      <c r="F52" s="4"/>
      <c r="G52" s="4"/>
      <c r="H52" s="4"/>
      <c r="I52" s="4"/>
      <c r="J52" s="4"/>
      <c r="K52" s="4"/>
      <c r="L52" s="4"/>
      <c r="M52" s="4"/>
      <c r="N52" s="4"/>
      <c r="O52" s="4"/>
      <c r="P52" s="4"/>
      <c r="Q52" s="4"/>
      <c r="R52" s="4"/>
      <c r="S52" s="4"/>
      <c r="T52" s="4"/>
      <c r="U52" s="4"/>
    </row>
    <row r="53" spans="1:21" s="123" customFormat="1" ht="18.600000000000001">
      <c r="A53" s="102"/>
      <c r="B53" s="102"/>
      <c r="C53" s="102" t="s">
        <v>78</v>
      </c>
      <c r="D53" s="102"/>
      <c r="E53" s="102"/>
      <c r="F53" s="102"/>
      <c r="G53" s="102"/>
      <c r="H53" s="102"/>
      <c r="I53" s="102"/>
      <c r="J53" s="102"/>
      <c r="K53" s="102"/>
      <c r="L53" s="102"/>
      <c r="M53" s="102"/>
      <c r="N53" s="102"/>
      <c r="O53" s="102"/>
      <c r="P53" s="102"/>
      <c r="Q53" s="102"/>
      <c r="R53" s="102"/>
      <c r="S53" s="102"/>
      <c r="T53" s="102"/>
      <c r="U53" s="102"/>
    </row>
    <row r="54" spans="1:21" outlineLevel="1">
      <c r="A54" s="4"/>
      <c r="B54" s="4"/>
      <c r="C54" s="4"/>
      <c r="D54" s="4"/>
      <c r="E54" s="4"/>
      <c r="F54" s="4"/>
      <c r="G54" s="4"/>
      <c r="H54" s="4"/>
      <c r="I54" s="4"/>
      <c r="J54" s="4"/>
      <c r="K54" s="4"/>
      <c r="L54" s="4"/>
      <c r="M54" s="4"/>
      <c r="N54" s="4"/>
      <c r="O54" s="4"/>
      <c r="P54" s="4"/>
      <c r="Q54" s="4"/>
      <c r="R54" s="4"/>
      <c r="S54" s="4"/>
      <c r="T54" s="4"/>
      <c r="U54" s="4"/>
    </row>
    <row r="55" spans="1:21" outlineLevel="1">
      <c r="A55" s="4"/>
      <c r="B55" s="4"/>
      <c r="C55" s="1" t="s">
        <v>1128</v>
      </c>
      <c r="D55" s="7"/>
      <c r="E55" s="7"/>
      <c r="F55" s="7"/>
      <c r="G55" s="7"/>
      <c r="H55" s="7"/>
      <c r="I55" s="7"/>
      <c r="J55" s="7"/>
      <c r="K55" s="7"/>
      <c r="L55" s="7"/>
      <c r="M55" s="7"/>
      <c r="N55" s="7"/>
      <c r="O55" s="7"/>
      <c r="P55" s="7"/>
      <c r="Q55" s="7"/>
      <c r="R55" s="7"/>
      <c r="S55" s="7"/>
      <c r="T55" s="7"/>
      <c r="U55" s="4"/>
    </row>
    <row r="56" spans="1:21">
      <c r="A56" s="4"/>
      <c r="B56" s="4"/>
      <c r="C56" s="4"/>
      <c r="D56" s="4"/>
      <c r="E56" s="4"/>
      <c r="F56" s="4"/>
      <c r="G56" s="4"/>
      <c r="H56" s="4"/>
      <c r="I56" s="4"/>
      <c r="J56" s="4"/>
      <c r="K56" s="4"/>
      <c r="L56" s="4"/>
      <c r="M56" s="4"/>
      <c r="N56" s="4"/>
      <c r="O56" s="4"/>
      <c r="P56" s="4"/>
      <c r="Q56" s="4"/>
      <c r="R56" s="4"/>
      <c r="S56" s="4"/>
      <c r="T56" s="4"/>
      <c r="U56" s="4"/>
    </row>
  </sheetData>
  <mergeCells count="8">
    <mergeCell ref="C2:S2"/>
    <mergeCell ref="C3:S3"/>
    <mergeCell ref="D44:D50"/>
    <mergeCell ref="D24:D25"/>
    <mergeCell ref="E24:M24"/>
    <mergeCell ref="E25:M25"/>
    <mergeCell ref="D34:D40"/>
    <mergeCell ref="D29:D30"/>
  </mergeCells>
  <phoneticPr fontId="1" type="noConversion"/>
  <hyperlinks>
    <hyperlink ref="C55" r:id="rId1" display="https://learn.microsoft.com/en-us/compliance/assurance/assurance-developing-your-ebcm-plan" xr:uid="{3E786976-D723-473B-A3EC-CE2465930493}"/>
  </hyperlinks>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x14:cfRule type="cellIs" priority="1" operator="equal" id="{0E452969-BBA3-4A45-8D70-C104D120DCB4}">
            <xm:f>Data!$L$13</xm:f>
            <x14:dxf>
              <font>
                <color theme="0"/>
              </font>
              <fill>
                <patternFill>
                  <bgColor rgb="FFF25022"/>
                </patternFill>
              </fill>
            </x14:dxf>
          </x14:cfRule>
          <x14:cfRule type="cellIs" priority="2" operator="equal" id="{5DBC4FD2-31E0-45DF-A70E-18CAC621E13B}">
            <xm:f>Data!$L$12</xm:f>
            <x14:dxf>
              <font>
                <color theme="0"/>
              </font>
              <fill>
                <patternFill>
                  <bgColor rgb="FFF25022"/>
                </patternFill>
              </fill>
            </x14:dxf>
          </x14:cfRule>
          <x14:cfRule type="cellIs" priority="3" operator="equal" id="{7720789B-9E6F-4A44-A299-028408D52A24}">
            <xm:f>Data!$L$11</xm:f>
            <x14:dxf>
              <font>
                <color theme="0"/>
              </font>
              <fill>
                <patternFill>
                  <bgColor rgb="FFF25022"/>
                </patternFill>
              </fill>
            </x14:dxf>
          </x14:cfRule>
          <x14:cfRule type="cellIs" priority="4" operator="equal" id="{7A5811AE-D74A-4209-9055-2DD2C57102EE}">
            <xm:f>Data!$L$10</xm:f>
            <x14:dxf>
              <font>
                <color theme="0"/>
              </font>
              <fill>
                <patternFill>
                  <bgColor rgb="FFF25022"/>
                </patternFill>
              </fill>
            </x14:dxf>
          </x14:cfRule>
          <x14:cfRule type="cellIs" priority="5" operator="equal" id="{3AEB1C04-FE28-4AD8-9AAD-257270CA0508}">
            <xm:f>Data!$L$6</xm:f>
            <x14:dxf>
              <font>
                <color theme="0"/>
              </font>
              <fill>
                <patternFill>
                  <bgColor rgb="FFF25022"/>
                </patternFill>
              </fill>
            </x14:dxf>
          </x14:cfRule>
          <x14:cfRule type="cellIs" priority="6" operator="equal" id="{AE57DEDD-B7FF-4E3A-94D1-458FBDE923DA}">
            <xm:f>Data!$L$9</xm:f>
            <x14:dxf>
              <font>
                <color theme="1"/>
              </font>
              <fill>
                <patternFill>
                  <bgColor rgb="FF7FBA00"/>
                </patternFill>
              </fill>
            </x14:dxf>
          </x14:cfRule>
          <x14:cfRule type="cellIs" priority="7" operator="equal" id="{92A3F434-AB2F-48BA-B0AE-BE03C94149A4}">
            <xm:f>Data!$L$8</xm:f>
            <x14:dxf>
              <font>
                <color theme="1"/>
              </font>
              <fill>
                <patternFill>
                  <bgColor rgb="FF00A4EF"/>
                </patternFill>
              </fill>
            </x14:dxf>
          </x14:cfRule>
          <x14:cfRule type="cellIs" priority="8" operator="equal" id="{32AA2535-6F1F-40E1-A508-AACD1BA30C06}">
            <xm:f>Data!$L$7</xm:f>
            <x14:dxf>
              <font>
                <color theme="1"/>
              </font>
              <fill>
                <patternFill>
                  <bgColor rgb="FFFFB900"/>
                </patternFill>
              </fill>
            </x14:dxf>
          </x14:cfRule>
          <x14:cfRule type="cellIs" priority="9" operator="equal" id="{23FA9078-1B02-491B-937B-FDA6BF7DD135}">
            <xm:f>Data!$L$5</xm:f>
            <x14:dxf>
              <font>
                <color theme="0"/>
              </font>
              <fill>
                <patternFill>
                  <bgColor rgb="FFF25022"/>
                </patternFill>
              </fill>
            </x14:dxf>
          </x14:cfRule>
          <x14:cfRule type="cellIs" priority="10" operator="equal" id="{700DA040-96D2-4DE7-B498-257AAB0D74C6}">
            <xm:f>Data!$L$6+Data!$L$14</xm:f>
            <x14:dxf>
              <font>
                <color theme="0"/>
              </font>
              <fill>
                <patternFill>
                  <bgColor rgb="FF747474"/>
                </patternFill>
              </fill>
            </x14:dxf>
          </x14:cfRule>
          <xm:sqref>E14:F15</xm:sqref>
        </x14:conditionalFormatting>
        <x14:conditionalFormatting xmlns:xm="http://schemas.microsoft.com/office/excel/2006/main">
          <x14:cfRule type="cellIs" priority="31" operator="equal" id="{19CCC7CE-A600-46D8-BF47-BC0C0E097202}">
            <xm:f>Data!$L$13</xm:f>
            <x14:dxf>
              <font>
                <color theme="0"/>
              </font>
              <fill>
                <patternFill>
                  <bgColor rgb="FFF25022"/>
                </patternFill>
              </fill>
            </x14:dxf>
          </x14:cfRule>
          <x14:cfRule type="cellIs" priority="32" operator="equal" id="{797F1477-1EB9-408A-A2D6-2935A087444A}">
            <xm:f>Data!$L$12</xm:f>
            <x14:dxf>
              <font>
                <color theme="0"/>
              </font>
              <fill>
                <patternFill>
                  <bgColor rgb="FFF25022"/>
                </patternFill>
              </fill>
            </x14:dxf>
          </x14:cfRule>
          <x14:cfRule type="cellIs" priority="33" operator="equal" id="{9FFD112C-6965-431D-B6BC-A3665CCB67CF}">
            <xm:f>Data!$L$11</xm:f>
            <x14:dxf>
              <font>
                <color theme="0"/>
              </font>
              <fill>
                <patternFill>
                  <bgColor rgb="FFF25022"/>
                </patternFill>
              </fill>
            </x14:dxf>
          </x14:cfRule>
          <x14:cfRule type="cellIs" priority="34" operator="equal" id="{C9319E4D-ACD8-460A-9658-8BCEDAE63C44}">
            <xm:f>Data!$L$10</xm:f>
            <x14:dxf>
              <font>
                <color theme="0"/>
              </font>
              <fill>
                <patternFill>
                  <bgColor rgb="FFF25022"/>
                </patternFill>
              </fill>
            </x14:dxf>
          </x14:cfRule>
          <x14:cfRule type="cellIs" priority="35" operator="equal" id="{69122A84-BD71-4404-BF78-FED66DF64934}">
            <xm:f>Data!$L$6</xm:f>
            <x14:dxf>
              <font>
                <color theme="0"/>
              </font>
              <fill>
                <patternFill>
                  <bgColor rgb="FFF25022"/>
                </patternFill>
              </fill>
            </x14:dxf>
          </x14:cfRule>
          <x14:cfRule type="cellIs" priority="36" operator="equal" id="{47E772F1-E75F-477E-A378-C585BB5FA110}">
            <xm:f>Data!$L$9</xm:f>
            <x14:dxf>
              <font>
                <color theme="1"/>
              </font>
              <fill>
                <patternFill>
                  <bgColor rgb="FF7FBA00"/>
                </patternFill>
              </fill>
            </x14:dxf>
          </x14:cfRule>
          <x14:cfRule type="cellIs" priority="37" operator="equal" id="{2EB5432D-683D-4925-99B5-FC00D2A89F6F}">
            <xm:f>Data!$L$8</xm:f>
            <x14:dxf>
              <font>
                <color theme="1"/>
              </font>
              <fill>
                <patternFill>
                  <bgColor rgb="FF00A4EF"/>
                </patternFill>
              </fill>
            </x14:dxf>
          </x14:cfRule>
          <x14:cfRule type="cellIs" priority="38" operator="equal" id="{FAC107C5-E8A2-401F-B704-4A88A29116AA}">
            <xm:f>Data!$L$7</xm:f>
            <x14:dxf>
              <font>
                <color theme="1"/>
              </font>
              <fill>
                <patternFill>
                  <bgColor rgb="FFFFB900"/>
                </patternFill>
              </fill>
            </x14:dxf>
          </x14:cfRule>
          <x14:cfRule type="cellIs" priority="39" operator="equal" id="{A32199F6-40DF-4433-9A49-5295E9EC5AD3}">
            <xm:f>Data!$L$5</xm:f>
            <x14:dxf>
              <font>
                <color theme="0"/>
              </font>
              <fill>
                <patternFill>
                  <bgColor rgb="FFF25022"/>
                </patternFill>
              </fill>
            </x14:dxf>
          </x14:cfRule>
          <x14:cfRule type="cellIs" priority="40" operator="equal" id="{EF387208-B049-4295-B083-623B9E7980A9}">
            <xm:f>Data!$L$6+Data!$L$14</xm:f>
            <x14:dxf>
              <font>
                <color theme="0"/>
              </font>
              <fill>
                <patternFill>
                  <bgColor rgb="FF747474"/>
                </patternFill>
              </fill>
            </x14:dxf>
          </x14:cfRule>
          <xm:sqref>L45:L51</xm:sqref>
        </x14:conditionalFormatting>
        <x14:conditionalFormatting xmlns:xm="http://schemas.microsoft.com/office/excel/2006/main">
          <x14:cfRule type="cellIs" priority="11" operator="equal" id="{462A846E-AD3F-4132-A55D-52202B10E6B1}">
            <xm:f>Data!$L$13</xm:f>
            <x14:dxf>
              <font>
                <color theme="0"/>
              </font>
              <fill>
                <patternFill>
                  <bgColor rgb="FFF25022"/>
                </patternFill>
              </fill>
            </x14:dxf>
          </x14:cfRule>
          <x14:cfRule type="cellIs" priority="12" operator="equal" id="{E5F9FF69-804C-46A9-91EC-2121627A9A3E}">
            <xm:f>Data!$L$12</xm:f>
            <x14:dxf>
              <font>
                <color theme="0"/>
              </font>
              <fill>
                <patternFill>
                  <bgColor rgb="FFF25022"/>
                </patternFill>
              </fill>
            </x14:dxf>
          </x14:cfRule>
          <x14:cfRule type="cellIs" priority="13" operator="equal" id="{D463ED59-10FE-433E-A84F-830C7312B9AA}">
            <xm:f>Data!$L$11</xm:f>
            <x14:dxf>
              <font>
                <color theme="0"/>
              </font>
              <fill>
                <patternFill>
                  <bgColor rgb="FFF25022"/>
                </patternFill>
              </fill>
            </x14:dxf>
          </x14:cfRule>
          <x14:cfRule type="cellIs" priority="14" operator="equal" id="{DFB7958E-ABD6-47A5-A177-0DF5E1A6AE82}">
            <xm:f>Data!$L$10</xm:f>
            <x14:dxf>
              <font>
                <color theme="0"/>
              </font>
              <fill>
                <patternFill>
                  <bgColor rgb="FFF25022"/>
                </patternFill>
              </fill>
            </x14:dxf>
          </x14:cfRule>
          <x14:cfRule type="cellIs" priority="15" operator="equal" id="{37C39E73-D2D8-4731-9B20-A62D1A817F9A}">
            <xm:f>Data!$L$6</xm:f>
            <x14:dxf>
              <font>
                <color theme="0"/>
              </font>
              <fill>
                <patternFill>
                  <bgColor rgb="FFF25022"/>
                </patternFill>
              </fill>
            </x14:dxf>
          </x14:cfRule>
          <x14:cfRule type="cellIs" priority="16" operator="equal" id="{F892AEBC-FC81-4FA8-A807-A11B92620585}">
            <xm:f>Data!$L$9</xm:f>
            <x14:dxf>
              <font>
                <color theme="1"/>
              </font>
              <fill>
                <patternFill>
                  <bgColor rgb="FF7FBA00"/>
                </patternFill>
              </fill>
            </x14:dxf>
          </x14:cfRule>
          <x14:cfRule type="cellIs" priority="17" operator="equal" id="{81C7D378-E4BE-4A52-B1A8-5E129F849A9F}">
            <xm:f>Data!$L$8</xm:f>
            <x14:dxf>
              <font>
                <color theme="1"/>
              </font>
              <fill>
                <patternFill>
                  <bgColor rgb="FF00A4EF"/>
                </patternFill>
              </fill>
            </x14:dxf>
          </x14:cfRule>
          <x14:cfRule type="cellIs" priority="18" operator="equal" id="{8F4D89D7-A1C2-43E4-A02F-684F2357A292}">
            <xm:f>Data!$L$7</xm:f>
            <x14:dxf>
              <font>
                <color theme="1"/>
              </font>
              <fill>
                <patternFill>
                  <bgColor rgb="FFFFB900"/>
                </patternFill>
              </fill>
            </x14:dxf>
          </x14:cfRule>
          <x14:cfRule type="cellIs" priority="19" operator="equal" id="{1AE858B0-20B2-4748-86FA-D7828D96E395}">
            <xm:f>Data!$L$5</xm:f>
            <x14:dxf>
              <font>
                <color theme="0"/>
              </font>
              <fill>
                <patternFill>
                  <bgColor rgb="FFF25022"/>
                </patternFill>
              </fill>
            </x14:dxf>
          </x14:cfRule>
          <x14:cfRule type="cellIs" priority="20" operator="equal" id="{25682CEB-EFB2-4B1E-A433-6E547BB417C1}">
            <xm:f>Data!$L$6+Data!$L$14</xm:f>
            <x14:dxf>
              <font>
                <color theme="0"/>
              </font>
              <fill>
                <patternFill>
                  <bgColor rgb="FF747474"/>
                </patternFill>
              </fill>
            </x14:dxf>
          </x14:cfRule>
          <xm:sqref>N25</xm:sqref>
        </x14:conditionalFormatting>
      </x14:conditionalFormattings>
    </ext>
    <ext xmlns:x14="http://schemas.microsoft.com/office/spreadsheetml/2009/9/main" uri="{CCE6A557-97BC-4b89-ADB6-D9C93CAAB3DF}">
      <x14:dataValidations xmlns:xm="http://schemas.microsoft.com/office/excel/2006/main" disablePrompts="1" count="1">
        <x14:dataValidation type="list" allowBlank="1" showInputMessage="1" showErrorMessage="1" xr:uid="{4120D866-8E77-46A7-B58F-2C07A11D91FC}">
          <x14:formula1>
            <xm:f>Data!$L$5:$L$14</xm:f>
          </x14:formula1>
          <xm:sqref>N25</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9859D5-4F83-4BEA-91EC-5DD8FB3669EA}">
  <sheetPr>
    <tabColor rgb="FF7FBA00"/>
    <pageSetUpPr fitToPage="1"/>
  </sheetPr>
  <dimension ref="A1:AA80"/>
  <sheetViews>
    <sheetView showGridLines="0" showRowColHeaders="0" zoomScaleNormal="100" workbookViewId="0">
      <selection activeCell="A6" sqref="A6"/>
    </sheetView>
  </sheetViews>
  <sheetFormatPr defaultColWidth="0" defaultRowHeight="14.45" customHeight="1" zeroHeight="1" outlineLevelRow="1"/>
  <cols>
    <col min="1" max="2" width="5.85546875" customWidth="1"/>
    <col min="3" max="3" width="3.85546875" customWidth="1"/>
    <col min="4" max="4" width="47.42578125" bestFit="1" customWidth="1"/>
    <col min="5" max="5" width="65.42578125" customWidth="1"/>
    <col min="6" max="6" width="72.5703125" bestFit="1" customWidth="1"/>
    <col min="7" max="7" width="33.85546875" customWidth="1"/>
    <col min="8" max="8" width="3.85546875" customWidth="1"/>
    <col min="9" max="9" width="4.85546875" hidden="1" customWidth="1"/>
    <col min="10" max="14" width="46.85546875" hidden="1" customWidth="1"/>
    <col min="15" max="15" width="3.140625" hidden="1" customWidth="1"/>
    <col min="16" max="24" width="46.85546875" hidden="1" customWidth="1"/>
    <col min="25" max="25" width="38.5703125" hidden="1" customWidth="1"/>
    <col min="26" max="27" width="3.140625" hidden="1" customWidth="1"/>
    <col min="28" max="16384" width="46.85546875" hidden="1"/>
  </cols>
  <sheetData>
    <row r="1" spans="1:8">
      <c r="A1" s="4"/>
      <c r="B1" s="4"/>
      <c r="C1" s="4"/>
      <c r="D1" s="4"/>
      <c r="E1" s="4"/>
      <c r="F1" s="4"/>
      <c r="G1" s="4"/>
      <c r="H1" s="4"/>
    </row>
    <row r="2" spans="1:8" ht="21">
      <c r="A2" s="4"/>
      <c r="B2" s="4"/>
      <c r="C2" s="618" t="s">
        <v>1129</v>
      </c>
      <c r="D2" s="618"/>
      <c r="E2" s="618"/>
      <c r="F2" s="618"/>
      <c r="G2" s="618"/>
      <c r="H2" s="4"/>
    </row>
    <row r="3" spans="1:8" ht="13.7" customHeight="1">
      <c r="A3" s="88"/>
      <c r="B3" s="88"/>
      <c r="C3" s="646" t="s">
        <v>1130</v>
      </c>
      <c r="D3" s="646"/>
      <c r="E3" s="646"/>
      <c r="F3" s="646"/>
      <c r="G3" s="646"/>
      <c r="H3" s="4"/>
    </row>
    <row r="4" spans="1:8" ht="13.7" customHeight="1">
      <c r="A4" s="88"/>
      <c r="B4" s="88"/>
      <c r="C4" s="212"/>
      <c r="D4" s="212"/>
      <c r="E4" s="212"/>
      <c r="F4" s="212"/>
      <c r="G4" s="212"/>
      <c r="H4" s="4"/>
    </row>
    <row r="5" spans="1:8" ht="14.45" customHeight="1">
      <c r="A5" s="88"/>
      <c r="B5" s="88"/>
      <c r="C5" s="182"/>
      <c r="D5" s="182"/>
      <c r="E5" s="182"/>
      <c r="F5" s="182"/>
      <c r="G5" s="182"/>
      <c r="H5" s="4"/>
    </row>
    <row r="6" spans="1:8" ht="14.45" customHeight="1">
      <c r="A6" s="88"/>
      <c r="B6" s="88"/>
      <c r="C6" s="182"/>
      <c r="D6" s="107" t="s">
        <v>890</v>
      </c>
      <c r="E6" s="244" t="s">
        <v>891</v>
      </c>
      <c r="F6" s="182"/>
      <c r="G6" s="182"/>
      <c r="H6" s="4"/>
    </row>
    <row r="7" spans="1:8" ht="14.45" customHeight="1">
      <c r="A7" s="88"/>
      <c r="B7" s="88"/>
      <c r="C7" s="182"/>
      <c r="D7" s="107" t="s">
        <v>892</v>
      </c>
      <c r="E7" s="244" t="s">
        <v>893</v>
      </c>
      <c r="F7" s="182"/>
      <c r="G7" s="182"/>
      <c r="H7" s="4"/>
    </row>
    <row r="8" spans="1:8" ht="14.45" customHeight="1">
      <c r="A8" s="88"/>
      <c r="B8" s="88"/>
      <c r="C8" s="182"/>
      <c r="D8" s="107" t="s">
        <v>117</v>
      </c>
      <c r="E8" s="244" t="s">
        <v>894</v>
      </c>
      <c r="F8" s="182"/>
      <c r="G8" s="182"/>
      <c r="H8" s="4"/>
    </row>
    <row r="9" spans="1:8" ht="14.45" customHeight="1">
      <c r="A9" s="88"/>
      <c r="B9" s="88"/>
      <c r="C9" s="182"/>
      <c r="D9" s="107" t="s">
        <v>822</v>
      </c>
      <c r="E9" s="244"/>
      <c r="F9" s="182"/>
      <c r="G9" s="182"/>
      <c r="H9" s="4"/>
    </row>
    <row r="10" spans="1:8" ht="14.45" customHeight="1">
      <c r="A10" s="88"/>
      <c r="B10" s="88"/>
      <c r="C10" s="182"/>
      <c r="D10" s="107" t="s">
        <v>895</v>
      </c>
      <c r="E10" s="244"/>
      <c r="F10" s="182"/>
      <c r="G10" s="182"/>
      <c r="H10" s="4"/>
    </row>
    <row r="11" spans="1:8" ht="14.45" customHeight="1">
      <c r="A11" s="88"/>
      <c r="B11" s="88"/>
      <c r="C11" s="182"/>
      <c r="D11" s="107" t="s">
        <v>896</v>
      </c>
      <c r="E11" s="244"/>
      <c r="F11" s="182"/>
      <c r="G11" s="182"/>
      <c r="H11" s="4"/>
    </row>
    <row r="12" spans="1:8" ht="14.45" customHeight="1">
      <c r="A12" s="88"/>
      <c r="B12" s="88"/>
      <c r="C12" s="182"/>
      <c r="D12" s="107" t="s">
        <v>477</v>
      </c>
      <c r="E12" s="244"/>
      <c r="F12" s="182"/>
      <c r="G12" s="182"/>
      <c r="H12" s="4"/>
    </row>
    <row r="13" spans="1:8" ht="14.45" customHeight="1">
      <c r="A13" s="88"/>
      <c r="B13" s="88"/>
      <c r="C13" s="182"/>
      <c r="D13" s="107" t="s">
        <v>897</v>
      </c>
      <c r="E13" s="244" t="s">
        <v>317</v>
      </c>
      <c r="F13" s="182"/>
      <c r="G13" s="182"/>
      <c r="H13" s="4"/>
    </row>
    <row r="14" spans="1:8" ht="14.45" customHeight="1">
      <c r="A14" s="88"/>
      <c r="B14" s="88"/>
      <c r="C14" s="182"/>
      <c r="D14" s="107" t="s">
        <v>267</v>
      </c>
      <c r="E14" s="245" t="s">
        <v>328</v>
      </c>
      <c r="F14" s="182"/>
      <c r="G14" s="182"/>
      <c r="H14" s="4"/>
    </row>
    <row r="15" spans="1:8" ht="14.45" customHeight="1">
      <c r="A15" s="88"/>
      <c r="B15" s="88"/>
      <c r="C15" s="182"/>
      <c r="D15" s="107" t="s">
        <v>898</v>
      </c>
      <c r="E15" s="372" t="s">
        <v>899</v>
      </c>
      <c r="F15" s="182"/>
      <c r="G15" s="182"/>
      <c r="H15" s="4"/>
    </row>
    <row r="16" spans="1:8" ht="14.45" customHeight="1">
      <c r="A16" s="88"/>
      <c r="B16" s="88"/>
      <c r="C16" s="182"/>
      <c r="D16" s="107" t="s">
        <v>900</v>
      </c>
      <c r="E16" s="246">
        <v>45020</v>
      </c>
      <c r="F16" s="182"/>
      <c r="G16" s="182"/>
      <c r="H16" s="4"/>
    </row>
    <row r="17" spans="1:8" ht="14.45" customHeight="1">
      <c r="A17" s="88"/>
      <c r="B17" s="88"/>
      <c r="C17" s="182"/>
      <c r="D17" s="107" t="s">
        <v>901</v>
      </c>
      <c r="E17" s="246">
        <v>45386</v>
      </c>
      <c r="F17" s="182"/>
      <c r="G17" s="182"/>
      <c r="H17" s="4"/>
    </row>
    <row r="18" spans="1:8" ht="14.45" customHeight="1">
      <c r="A18" s="88"/>
      <c r="B18" s="88"/>
      <c r="C18" s="182"/>
      <c r="D18" s="107" t="s">
        <v>902</v>
      </c>
      <c r="E18" s="247">
        <v>43160</v>
      </c>
      <c r="F18" s="182"/>
      <c r="G18" s="182"/>
      <c r="H18" s="4"/>
    </row>
    <row r="19" spans="1:8" ht="14.45" customHeight="1">
      <c r="A19" s="88"/>
      <c r="B19" s="88"/>
      <c r="C19" s="182"/>
      <c r="D19" s="107" t="s">
        <v>903</v>
      </c>
      <c r="E19" s="247" t="s">
        <v>904</v>
      </c>
      <c r="F19" s="182"/>
      <c r="G19" s="182"/>
      <c r="H19" s="4"/>
    </row>
    <row r="20" spans="1:8" ht="14.45" customHeight="1">
      <c r="A20" s="88"/>
      <c r="B20" s="88"/>
      <c r="C20" s="182"/>
      <c r="D20" s="107" t="s">
        <v>905</v>
      </c>
      <c r="E20" s="247" t="s">
        <v>906</v>
      </c>
      <c r="F20" s="182"/>
      <c r="G20" s="182"/>
      <c r="H20" s="4"/>
    </row>
    <row r="21" spans="1:8" ht="14.45" customHeight="1">
      <c r="A21" s="88"/>
      <c r="B21" s="88"/>
      <c r="C21" s="182"/>
      <c r="D21" s="108" t="s">
        <v>907</v>
      </c>
      <c r="E21" s="248" t="s">
        <v>908</v>
      </c>
      <c r="F21" s="182"/>
      <c r="G21" s="182"/>
      <c r="H21" s="4"/>
    </row>
    <row r="22" spans="1:8" ht="14.45" customHeight="1">
      <c r="A22" s="88"/>
      <c r="B22" s="88"/>
      <c r="C22" s="182"/>
      <c r="D22" s="87"/>
      <c r="E22" s="182"/>
      <c r="F22" s="182"/>
      <c r="G22" s="182"/>
      <c r="H22" s="4"/>
    </row>
    <row r="23" spans="1:8" ht="14.45" customHeight="1">
      <c r="A23" s="88"/>
      <c r="B23" s="88"/>
      <c r="C23" s="212"/>
      <c r="D23" s="355"/>
      <c r="E23" s="212"/>
      <c r="F23" s="212"/>
      <c r="G23" s="212"/>
      <c r="H23" s="4"/>
    </row>
    <row r="24" spans="1:8" ht="14.45" customHeight="1">
      <c r="A24" s="88"/>
      <c r="B24" s="88"/>
      <c r="C24" s="182"/>
      <c r="D24" s="87" t="s">
        <v>1131</v>
      </c>
      <c r="E24" s="182"/>
      <c r="F24" s="182"/>
      <c r="G24" s="182"/>
      <c r="H24" s="4"/>
    </row>
    <row r="25" spans="1:8" ht="14.45" customHeight="1">
      <c r="A25" s="88"/>
      <c r="B25" s="88"/>
      <c r="C25" s="182"/>
      <c r="D25" s="87" t="s">
        <v>1132</v>
      </c>
      <c r="E25" s="182"/>
      <c r="F25" s="182"/>
      <c r="G25" s="182"/>
      <c r="H25" s="4"/>
    </row>
    <row r="26" spans="1:8" ht="14.45" customHeight="1">
      <c r="A26" s="88"/>
      <c r="B26" s="88"/>
      <c r="C26" s="182"/>
      <c r="D26" s="87" t="s">
        <v>1133</v>
      </c>
      <c r="E26" s="182"/>
      <c r="F26" s="182"/>
      <c r="G26" s="182"/>
      <c r="H26" s="4"/>
    </row>
    <row r="27" spans="1:8" ht="13.7" customHeight="1">
      <c r="A27" s="88"/>
      <c r="B27" s="88"/>
      <c r="C27" s="212"/>
      <c r="D27" s="212"/>
      <c r="E27" s="212"/>
      <c r="F27" s="212"/>
      <c r="G27" s="212"/>
      <c r="H27" s="4"/>
    </row>
    <row r="28" spans="1:8">
      <c r="A28" s="4"/>
      <c r="B28" s="4"/>
      <c r="C28" s="4"/>
      <c r="D28" s="4"/>
      <c r="E28" s="4"/>
      <c r="F28" s="4"/>
      <c r="G28" s="4"/>
      <c r="H28" s="4"/>
    </row>
    <row r="29" spans="1:8">
      <c r="A29" s="4"/>
      <c r="B29" s="4"/>
      <c r="C29" s="4"/>
      <c r="D29" s="4"/>
      <c r="E29" s="4"/>
      <c r="F29" s="11"/>
      <c r="G29" s="4"/>
      <c r="H29" s="4"/>
    </row>
    <row r="30" spans="1:8">
      <c r="A30" s="4"/>
      <c r="B30" s="4"/>
      <c r="C30" s="4"/>
      <c r="D30" s="4"/>
      <c r="E30" s="4"/>
      <c r="F30" s="4"/>
      <c r="G30" s="4"/>
      <c r="H30" s="4"/>
    </row>
    <row r="31" spans="1:8">
      <c r="A31" s="4"/>
      <c r="B31" s="4"/>
      <c r="C31" s="4"/>
      <c r="D31" s="4"/>
      <c r="E31" s="4"/>
      <c r="F31" s="4"/>
      <c r="G31" s="4"/>
      <c r="H31" s="4"/>
    </row>
    <row r="32" spans="1:8">
      <c r="A32" s="4"/>
      <c r="B32" s="4"/>
      <c r="C32" s="4"/>
      <c r="D32" s="4"/>
      <c r="E32" s="4"/>
      <c r="F32" s="4"/>
      <c r="G32" s="4"/>
      <c r="H32" s="4"/>
    </row>
    <row r="33" spans="1:8">
      <c r="A33" s="4"/>
      <c r="B33" s="4"/>
      <c r="C33" s="4"/>
      <c r="D33" s="4"/>
      <c r="E33" s="4"/>
      <c r="F33" s="4"/>
      <c r="G33" s="4"/>
      <c r="H33" s="4"/>
    </row>
    <row r="34" spans="1:8">
      <c r="A34" s="4"/>
      <c r="B34" s="4"/>
      <c r="C34" s="4"/>
      <c r="D34" s="4"/>
      <c r="E34" s="4"/>
      <c r="F34" s="4"/>
      <c r="G34" s="4"/>
      <c r="H34" s="4"/>
    </row>
    <row r="35" spans="1:8">
      <c r="A35" s="4"/>
      <c r="B35" s="4"/>
      <c r="C35" s="4"/>
      <c r="D35" s="4"/>
      <c r="E35" s="4"/>
      <c r="F35" s="4"/>
      <c r="G35" s="4"/>
      <c r="H35" s="4"/>
    </row>
    <row r="36" spans="1:8">
      <c r="A36" s="4"/>
      <c r="B36" s="4"/>
      <c r="C36" s="4"/>
      <c r="D36" s="4"/>
      <c r="E36" s="4"/>
      <c r="F36" s="4"/>
      <c r="G36" s="4"/>
      <c r="H36" s="4"/>
    </row>
    <row r="37" spans="1:8">
      <c r="A37" s="4"/>
      <c r="B37" s="4"/>
      <c r="C37" s="4"/>
      <c r="D37" s="4"/>
      <c r="E37" s="4"/>
      <c r="F37" s="4"/>
      <c r="G37" s="4"/>
      <c r="H37" s="4"/>
    </row>
    <row r="38" spans="1:8">
      <c r="A38" s="4"/>
      <c r="B38" s="4"/>
      <c r="C38" s="4"/>
      <c r="D38" s="4"/>
      <c r="E38" s="4"/>
      <c r="F38" s="4"/>
      <c r="G38" s="4"/>
      <c r="H38" s="4"/>
    </row>
    <row r="39" spans="1:8">
      <c r="A39" s="4"/>
      <c r="B39" s="4"/>
      <c r="C39" s="4"/>
      <c r="D39" s="4"/>
      <c r="E39" s="4"/>
      <c r="F39" s="4"/>
      <c r="G39" s="4"/>
      <c r="H39" s="4"/>
    </row>
    <row r="40" spans="1:8">
      <c r="A40" s="4"/>
      <c r="B40" s="4"/>
      <c r="C40" s="4"/>
      <c r="D40" s="4"/>
      <c r="E40" s="4"/>
      <c r="F40" s="4"/>
      <c r="G40" s="4"/>
      <c r="H40" s="4"/>
    </row>
    <row r="41" spans="1:8">
      <c r="A41" s="4"/>
      <c r="B41" s="4"/>
      <c r="C41" s="4"/>
      <c r="D41" s="4"/>
      <c r="E41" s="4"/>
      <c r="F41" s="4"/>
      <c r="G41" s="4"/>
      <c r="H41" s="4"/>
    </row>
    <row r="42" spans="1:8">
      <c r="A42" s="4"/>
      <c r="B42" s="4"/>
      <c r="C42" s="4"/>
      <c r="D42" s="4"/>
      <c r="E42" s="4"/>
      <c r="F42" s="4"/>
      <c r="G42" s="4"/>
      <c r="H42" s="4"/>
    </row>
    <row r="43" spans="1:8">
      <c r="A43" s="4"/>
      <c r="B43" s="4"/>
      <c r="C43" s="4"/>
      <c r="D43" s="4"/>
      <c r="E43" s="4"/>
      <c r="F43" s="4"/>
      <c r="G43" s="4"/>
      <c r="H43" s="4"/>
    </row>
    <row r="44" spans="1:8">
      <c r="A44" s="4"/>
      <c r="B44" s="4"/>
      <c r="C44" s="4"/>
      <c r="D44" s="4"/>
      <c r="E44" s="4"/>
      <c r="F44" s="4"/>
      <c r="G44" s="4"/>
      <c r="H44" s="4"/>
    </row>
    <row r="45" spans="1:8">
      <c r="A45" s="4"/>
      <c r="B45" s="4"/>
      <c r="C45" s="4"/>
      <c r="D45" s="4"/>
      <c r="E45" s="4"/>
      <c r="F45" s="4"/>
      <c r="G45" s="4"/>
      <c r="H45" s="4"/>
    </row>
    <row r="46" spans="1:8">
      <c r="A46" s="4"/>
      <c r="B46" s="4"/>
      <c r="C46" s="4"/>
      <c r="D46" s="4"/>
      <c r="E46" s="4"/>
      <c r="F46" s="4"/>
      <c r="G46" s="4"/>
      <c r="H46" s="4"/>
    </row>
    <row r="47" spans="1:8">
      <c r="A47" s="4"/>
      <c r="B47" s="4"/>
      <c r="C47" s="4"/>
      <c r="D47" s="4"/>
      <c r="E47" s="4"/>
      <c r="F47" s="4"/>
      <c r="G47" s="4"/>
      <c r="H47" s="4"/>
    </row>
    <row r="48" spans="1:8">
      <c r="A48" s="4"/>
      <c r="B48" s="4"/>
      <c r="C48" s="4"/>
      <c r="D48" s="4"/>
      <c r="E48" s="4"/>
      <c r="F48" s="4"/>
      <c r="G48" s="4"/>
      <c r="H48" s="4"/>
    </row>
    <row r="49" spans="1:8" ht="14.45" customHeight="1">
      <c r="A49" s="4"/>
      <c r="B49" s="4"/>
      <c r="C49" s="4"/>
      <c r="D49" s="4"/>
      <c r="E49" s="4"/>
      <c r="F49" s="4"/>
      <c r="G49" s="4"/>
      <c r="H49" s="4"/>
    </row>
    <row r="50" spans="1:8" ht="14.45" customHeight="1">
      <c r="A50" s="4"/>
      <c r="B50" s="4"/>
      <c r="C50" s="4"/>
      <c r="D50" s="4"/>
      <c r="E50" s="4"/>
      <c r="F50" s="4"/>
      <c r="G50" s="4"/>
      <c r="H50" s="4"/>
    </row>
    <row r="51" spans="1:8" ht="14.45" customHeight="1">
      <c r="A51" s="4"/>
      <c r="B51" s="4"/>
      <c r="C51" s="4"/>
      <c r="D51" s="4"/>
      <c r="E51" s="4"/>
      <c r="F51" s="4"/>
      <c r="G51" s="4"/>
      <c r="H51" s="4"/>
    </row>
    <row r="52" spans="1:8" ht="14.45" customHeight="1">
      <c r="A52" s="4"/>
      <c r="B52" s="4"/>
      <c r="C52" s="4"/>
      <c r="D52" s="4"/>
      <c r="E52" s="4"/>
      <c r="F52" s="4"/>
      <c r="G52" s="4"/>
      <c r="H52" s="4"/>
    </row>
    <row r="53" spans="1:8" ht="14.45" customHeight="1">
      <c r="A53" s="4"/>
      <c r="B53" s="4"/>
      <c r="C53" s="4"/>
      <c r="D53" s="4"/>
      <c r="E53" s="4"/>
      <c r="F53" s="4"/>
      <c r="G53" s="4"/>
      <c r="H53" s="4"/>
    </row>
    <row r="54" spans="1:8" ht="14.45" customHeight="1">
      <c r="A54" s="4"/>
      <c r="B54" s="4"/>
      <c r="C54" s="4"/>
      <c r="D54" s="4"/>
      <c r="E54" s="4"/>
      <c r="F54" s="4"/>
      <c r="G54" s="4"/>
      <c r="H54" s="4"/>
    </row>
    <row r="55" spans="1:8" ht="14.45" customHeight="1">
      <c r="A55" s="4"/>
      <c r="B55" s="4"/>
      <c r="C55" s="4"/>
      <c r="D55" s="4"/>
      <c r="E55" s="4"/>
      <c r="F55" s="4"/>
      <c r="G55" s="4"/>
      <c r="H55" s="4"/>
    </row>
    <row r="56" spans="1:8" ht="14.45" customHeight="1">
      <c r="A56" s="4"/>
      <c r="B56" s="4"/>
      <c r="C56" s="4"/>
      <c r="D56" s="4"/>
      <c r="E56" s="4"/>
      <c r="F56" s="4"/>
      <c r="G56" s="4"/>
      <c r="H56" s="4"/>
    </row>
    <row r="57" spans="1:8" ht="14.45" customHeight="1">
      <c r="A57" s="4"/>
      <c r="B57" s="4"/>
      <c r="C57" s="4"/>
      <c r="D57" s="4"/>
      <c r="E57" s="4"/>
      <c r="F57" s="4"/>
      <c r="G57" s="4"/>
      <c r="H57" s="4"/>
    </row>
    <row r="58" spans="1:8" ht="14.45" customHeight="1">
      <c r="A58" s="4"/>
      <c r="B58" s="4"/>
      <c r="C58" s="4"/>
      <c r="D58" s="4"/>
      <c r="E58" s="4"/>
      <c r="F58" s="4"/>
      <c r="G58" s="4"/>
      <c r="H58" s="4"/>
    </row>
    <row r="59" spans="1:8" ht="14.45" customHeight="1">
      <c r="A59" s="4"/>
      <c r="B59" s="4"/>
      <c r="C59" s="4"/>
      <c r="D59" s="4"/>
      <c r="E59" s="4"/>
      <c r="F59" s="4"/>
      <c r="G59" s="4"/>
      <c r="H59" s="4"/>
    </row>
    <row r="60" spans="1:8" ht="14.45" customHeight="1">
      <c r="A60" s="4"/>
      <c r="B60" s="4"/>
      <c r="C60" s="4"/>
      <c r="D60" s="4"/>
      <c r="E60" s="4"/>
      <c r="F60" s="4"/>
      <c r="G60" s="4"/>
      <c r="H60" s="4"/>
    </row>
    <row r="61" spans="1:8" ht="14.45" customHeight="1">
      <c r="A61" s="4"/>
      <c r="B61" s="4"/>
      <c r="C61" s="4"/>
      <c r="D61" s="4"/>
      <c r="E61" s="4"/>
      <c r="F61" s="4"/>
      <c r="G61" s="4"/>
      <c r="H61" s="4"/>
    </row>
    <row r="62" spans="1:8" ht="14.45" customHeight="1">
      <c r="A62" s="4"/>
      <c r="B62" s="4"/>
      <c r="C62" s="4"/>
      <c r="D62" s="4"/>
      <c r="E62" s="4"/>
      <c r="F62" s="4"/>
      <c r="G62" s="4"/>
      <c r="H62" s="4"/>
    </row>
    <row r="63" spans="1:8" ht="14.45" customHeight="1">
      <c r="A63" s="4"/>
      <c r="B63" s="4"/>
      <c r="C63" s="4"/>
      <c r="D63" s="4"/>
      <c r="E63" s="4"/>
      <c r="F63" s="4"/>
      <c r="G63" s="4"/>
      <c r="H63" s="4"/>
    </row>
    <row r="64" spans="1:8" ht="14.45" customHeight="1">
      <c r="A64" s="4"/>
      <c r="B64" s="4"/>
      <c r="C64" s="4"/>
      <c r="D64" s="4"/>
      <c r="E64" s="4"/>
      <c r="F64" s="4"/>
      <c r="G64" s="4"/>
      <c r="H64" s="4"/>
    </row>
    <row r="65" spans="1:8" ht="14.45" customHeight="1">
      <c r="A65" s="4"/>
      <c r="B65" s="4"/>
      <c r="C65" s="4"/>
      <c r="D65" s="4"/>
      <c r="E65" s="4"/>
      <c r="F65" s="4"/>
      <c r="G65" s="4"/>
      <c r="H65" s="4"/>
    </row>
    <row r="66" spans="1:8" ht="14.45" customHeight="1">
      <c r="A66" s="4"/>
      <c r="B66" s="4"/>
      <c r="C66" s="4"/>
      <c r="D66" s="4"/>
      <c r="E66" s="4"/>
      <c r="F66" s="4"/>
      <c r="G66" s="4"/>
      <c r="H66" s="4"/>
    </row>
    <row r="67" spans="1:8" ht="14.45" customHeight="1">
      <c r="A67" s="4"/>
      <c r="B67" s="4"/>
      <c r="C67" s="4"/>
      <c r="D67" s="4"/>
      <c r="E67" s="4"/>
      <c r="F67" s="4"/>
      <c r="G67" s="4"/>
      <c r="H67" s="4"/>
    </row>
    <row r="68" spans="1:8" ht="14.45" customHeight="1">
      <c r="A68" s="4"/>
      <c r="B68" s="4"/>
      <c r="C68" s="4"/>
      <c r="D68" s="4"/>
      <c r="E68" s="4"/>
      <c r="F68" s="4"/>
      <c r="G68" s="4"/>
      <c r="H68" s="4"/>
    </row>
    <row r="69" spans="1:8" ht="14.45" customHeight="1">
      <c r="A69" s="4"/>
      <c r="B69" s="4"/>
      <c r="C69" s="4"/>
      <c r="D69" s="4"/>
      <c r="E69" s="4"/>
      <c r="F69" s="4"/>
      <c r="G69" s="4"/>
      <c r="H69" s="4"/>
    </row>
    <row r="70" spans="1:8" ht="14.45" customHeight="1">
      <c r="A70" s="4"/>
      <c r="B70" s="4"/>
      <c r="C70" s="4"/>
      <c r="D70" s="4"/>
      <c r="E70" s="4"/>
      <c r="F70" s="4"/>
      <c r="G70" s="4"/>
      <c r="H70" s="4"/>
    </row>
    <row r="71" spans="1:8" ht="14.45" customHeight="1">
      <c r="A71" s="4"/>
      <c r="B71" s="4"/>
      <c r="C71" s="4"/>
      <c r="D71" s="4"/>
      <c r="E71" s="4"/>
      <c r="F71" s="4"/>
      <c r="G71" s="4"/>
      <c r="H71" s="4"/>
    </row>
    <row r="72" spans="1:8" ht="14.45" customHeight="1">
      <c r="A72" s="4"/>
      <c r="B72" s="4"/>
      <c r="C72" s="4"/>
      <c r="D72" s="4"/>
      <c r="E72" s="4"/>
      <c r="F72" s="4"/>
      <c r="G72" s="4"/>
      <c r="H72" s="4"/>
    </row>
    <row r="73" spans="1:8" ht="14.45" customHeight="1">
      <c r="A73" s="4"/>
      <c r="B73" s="4"/>
      <c r="C73" s="4"/>
      <c r="D73" s="4"/>
      <c r="E73" s="4"/>
      <c r="F73" s="4"/>
      <c r="G73" s="4"/>
      <c r="H73" s="4"/>
    </row>
    <row r="74" spans="1:8" ht="14.45" customHeight="1">
      <c r="A74" s="4"/>
      <c r="B74" s="4"/>
      <c r="C74" s="4"/>
      <c r="D74" s="4"/>
      <c r="E74" s="4"/>
      <c r="F74" s="4"/>
      <c r="G74" s="4"/>
      <c r="H74" s="4"/>
    </row>
    <row r="75" spans="1:8" ht="14.45" customHeight="1">
      <c r="A75" s="4"/>
      <c r="B75" s="4"/>
      <c r="C75" s="4"/>
      <c r="D75" s="4"/>
      <c r="E75" s="4"/>
      <c r="F75" s="4"/>
      <c r="G75" s="4"/>
      <c r="H75" s="4"/>
    </row>
    <row r="76" spans="1:8" ht="14.45" customHeight="1">
      <c r="A76" s="102"/>
      <c r="B76" s="102"/>
      <c r="C76" s="102" t="s">
        <v>78</v>
      </c>
      <c r="D76" s="102"/>
      <c r="E76" s="102"/>
      <c r="F76" s="102"/>
      <c r="G76" s="102"/>
      <c r="H76" s="4"/>
    </row>
    <row r="77" spans="1:8" ht="14.45" customHeight="1" outlineLevel="1">
      <c r="A77" s="4"/>
      <c r="B77" s="4"/>
      <c r="C77" s="4"/>
      <c r="D77" s="4"/>
      <c r="E77" s="4"/>
      <c r="F77" s="4"/>
      <c r="G77" s="4"/>
      <c r="H77" s="4"/>
    </row>
    <row r="78" spans="1:8" ht="14.45" customHeight="1" outlineLevel="1">
      <c r="A78" s="4"/>
      <c r="B78" s="4"/>
      <c r="C78" s="70" t="s">
        <v>1134</v>
      </c>
      <c r="D78" s="7"/>
      <c r="E78" s="7"/>
      <c r="F78" s="7"/>
      <c r="G78" s="7"/>
      <c r="H78" s="4"/>
    </row>
    <row r="79" spans="1:8" ht="14.45" customHeight="1" outlineLevel="1">
      <c r="A79" s="4"/>
      <c r="B79" s="4"/>
      <c r="C79" s="70" t="s">
        <v>1135</v>
      </c>
      <c r="D79" s="70"/>
      <c r="E79" s="7"/>
      <c r="F79" s="7"/>
      <c r="G79" s="7"/>
      <c r="H79" s="4"/>
    </row>
    <row r="80" spans="1:8" ht="14.45" customHeight="1">
      <c r="A80" s="4"/>
      <c r="B80" s="4"/>
      <c r="C80" s="4"/>
      <c r="D80" s="4"/>
      <c r="E80" s="4"/>
      <c r="F80" s="4"/>
      <c r="G80" s="4"/>
      <c r="H80" s="4"/>
    </row>
  </sheetData>
  <mergeCells count="2">
    <mergeCell ref="C2:G2"/>
    <mergeCell ref="C3:G3"/>
  </mergeCells>
  <phoneticPr fontId="65"/>
  <hyperlinks>
    <hyperlink ref="C78" r:id="rId1" display="https://support.microsoft.com/en-us/office/create-a-fault-tree-analysis-diagram-11d9daff-46ea-47f8-82de-e0b5e37ade20" xr:uid="{DF654150-B462-4139-B12F-9D29BCC88A74}"/>
    <hyperlink ref="C79" r:id="rId2" xr:uid="{6DA720C2-427F-44FB-8CBF-0DDDC50DBB25}"/>
    <hyperlink ref="E21" r:id="rId3" display="https://learn.microsoft.com/en-us/azure/architecture/web-apps/app-service/architectures/multi-region" xr:uid="{DC8ED01C-7540-4531-9F6D-4F053FDB9DE7}"/>
  </hyperlinks>
  <pageMargins left="0.7" right="0.7" top="0.75" bottom="0.75" header="0.3" footer="0.3"/>
  <pageSetup paperSize="8" scale="38" orientation="portrait" r:id="rId4"/>
  <drawing r:id="rId5"/>
  <extLst>
    <ext xmlns:x14="http://schemas.microsoft.com/office/spreadsheetml/2009/9/main" uri="{78C0D931-6437-407d-A8EE-F0AAD7539E65}">
      <x14:conditionalFormattings>
        <x14:conditionalFormatting xmlns:xm="http://schemas.microsoft.com/office/excel/2006/main">
          <x14:cfRule type="cellIs" priority="1" operator="equal" id="{9448ABAE-1364-42F3-B8B3-06935087C8F6}">
            <xm:f>Data!$L$13</xm:f>
            <x14:dxf>
              <font>
                <color theme="0"/>
              </font>
              <fill>
                <patternFill>
                  <bgColor rgb="FFF25022"/>
                </patternFill>
              </fill>
            </x14:dxf>
          </x14:cfRule>
          <x14:cfRule type="cellIs" priority="2" operator="equal" id="{032EBA44-E57B-4E84-9292-48A0991CF21A}">
            <xm:f>Data!$L$12</xm:f>
            <x14:dxf>
              <font>
                <color theme="0"/>
              </font>
              <fill>
                <patternFill>
                  <bgColor rgb="FFF25022"/>
                </patternFill>
              </fill>
            </x14:dxf>
          </x14:cfRule>
          <x14:cfRule type="cellIs" priority="3" operator="equal" id="{C4800930-A860-418A-B0CF-FF8F5E71FA8A}">
            <xm:f>Data!$L$11</xm:f>
            <x14:dxf>
              <font>
                <color theme="0"/>
              </font>
              <fill>
                <patternFill>
                  <bgColor rgb="FFF25022"/>
                </patternFill>
              </fill>
            </x14:dxf>
          </x14:cfRule>
          <x14:cfRule type="cellIs" priority="4" operator="equal" id="{79D72D62-212C-48CB-979C-7CDB61AC1DB5}">
            <xm:f>Data!$L$10</xm:f>
            <x14:dxf>
              <font>
                <color theme="0"/>
              </font>
              <fill>
                <patternFill>
                  <bgColor rgb="FFF25022"/>
                </patternFill>
              </fill>
            </x14:dxf>
          </x14:cfRule>
          <x14:cfRule type="cellIs" priority="5" operator="equal" id="{F4D5ADEF-57FE-4775-9EF8-80C569D2F0F7}">
            <xm:f>Data!$L$6</xm:f>
            <x14:dxf>
              <font>
                <color theme="0"/>
              </font>
              <fill>
                <patternFill>
                  <bgColor rgb="FFF25022"/>
                </patternFill>
              </fill>
            </x14:dxf>
          </x14:cfRule>
          <x14:cfRule type="cellIs" priority="6" operator="equal" id="{BFD5C352-6BE2-440A-8E33-FDA6B510CFF8}">
            <xm:f>Data!$L$9</xm:f>
            <x14:dxf>
              <font>
                <color theme="1"/>
              </font>
              <fill>
                <patternFill>
                  <bgColor rgb="FF7FBA00"/>
                </patternFill>
              </fill>
            </x14:dxf>
          </x14:cfRule>
          <x14:cfRule type="cellIs" priority="7" operator="equal" id="{318EA83B-DD05-4337-A9C0-E6E9C4EBE17C}">
            <xm:f>Data!$L$8</xm:f>
            <x14:dxf>
              <font>
                <color theme="1"/>
              </font>
              <fill>
                <patternFill>
                  <bgColor rgb="FF00A4EF"/>
                </patternFill>
              </fill>
            </x14:dxf>
          </x14:cfRule>
          <x14:cfRule type="cellIs" priority="8" operator="equal" id="{4082C1FE-F976-40BC-823D-C22B99B2C871}">
            <xm:f>Data!$L$7</xm:f>
            <x14:dxf>
              <font>
                <color theme="1"/>
              </font>
              <fill>
                <patternFill>
                  <bgColor rgb="FFFFB900"/>
                </patternFill>
              </fill>
            </x14:dxf>
          </x14:cfRule>
          <x14:cfRule type="cellIs" priority="9" operator="equal" id="{073B2BAE-FC79-4F98-AF08-B3C6C00BD0C1}">
            <xm:f>Data!$L$5</xm:f>
            <x14:dxf>
              <font>
                <color theme="0"/>
              </font>
              <fill>
                <patternFill>
                  <bgColor rgb="FFF25022"/>
                </patternFill>
              </fill>
            </x14:dxf>
          </x14:cfRule>
          <x14:cfRule type="cellIs" priority="10" operator="equal" id="{E833E635-D27A-42A8-BC18-E2C1094EFC68}">
            <xm:f>Data!$L$6+Data!$L$14</xm:f>
            <x14:dxf>
              <font>
                <color theme="0"/>
              </font>
              <fill>
                <patternFill>
                  <bgColor rgb="FF747474"/>
                </patternFill>
              </fill>
            </x14:dxf>
          </x14:cfRule>
          <xm:sqref>E14:E15</xm:sqref>
        </x14:conditionalFormatting>
      </x14:conditionalFormatting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B8D9D9-5B29-4409-9225-6E65B43D3802}">
  <sheetPr>
    <tabColor rgb="FF7FBA00"/>
  </sheetPr>
  <dimension ref="A1:AR195"/>
  <sheetViews>
    <sheetView showGridLines="0" showRowColHeaders="0" zoomScale="85" zoomScaleNormal="85" workbookViewId="0">
      <selection activeCell="O29" sqref="O29"/>
    </sheetView>
  </sheetViews>
  <sheetFormatPr defaultColWidth="0" defaultRowHeight="14.45" zeroHeight="1" outlineLevelRow="1"/>
  <cols>
    <col min="1" max="2" width="5.85546875" customWidth="1"/>
    <col min="3" max="3" width="3.85546875" customWidth="1"/>
    <col min="4" max="4" width="20.42578125" customWidth="1"/>
    <col min="5" max="5" width="21.5703125" customWidth="1"/>
    <col min="6" max="6" width="41.42578125" customWidth="1"/>
    <col min="7" max="7" width="29.42578125" customWidth="1"/>
    <col min="8" max="8" width="20.5703125" customWidth="1"/>
    <col min="9" max="9" width="28.85546875" bestFit="1" customWidth="1"/>
    <col min="10" max="10" width="20.85546875" bestFit="1" customWidth="1"/>
    <col min="11" max="11" width="20.42578125" bestFit="1" customWidth="1"/>
    <col min="12" max="12" width="20.42578125" customWidth="1"/>
    <col min="13" max="13" width="30.140625" customWidth="1"/>
    <col min="14" max="14" width="21.42578125" bestFit="1" customWidth="1"/>
    <col min="15" max="15" width="18.42578125" customWidth="1"/>
    <col min="16" max="16" width="18.85546875" customWidth="1"/>
    <col min="17" max="17" width="13.140625" bestFit="1" customWidth="1"/>
    <col min="18" max="18" width="53.42578125" customWidth="1"/>
    <col min="19" max="20" width="3.85546875" customWidth="1"/>
    <col min="21" max="21" width="11" hidden="1" customWidth="1"/>
    <col min="22" max="22" width="11.140625" hidden="1" customWidth="1"/>
    <col min="23" max="23" width="11.42578125" hidden="1" customWidth="1"/>
    <col min="24" max="24" width="11" hidden="1" customWidth="1"/>
    <col min="25" max="25" width="11.140625" hidden="1" customWidth="1"/>
    <col min="26" max="26" width="10.42578125" hidden="1" customWidth="1"/>
    <col min="27" max="27" width="50.85546875" hidden="1" customWidth="1"/>
    <col min="28" max="29" width="3.85546875" hidden="1" customWidth="1"/>
    <col min="30" max="44" width="0" hidden="1" customWidth="1"/>
    <col min="45" max="16384" width="8.85546875" hidden="1"/>
  </cols>
  <sheetData>
    <row r="1" spans="1:20">
      <c r="A1" s="4"/>
      <c r="B1" s="4"/>
      <c r="C1" s="4"/>
      <c r="D1" s="4"/>
      <c r="E1" s="4"/>
      <c r="F1" s="4"/>
      <c r="G1" s="4"/>
      <c r="H1" s="4"/>
      <c r="I1" s="4"/>
      <c r="J1" s="4"/>
      <c r="K1" s="4"/>
      <c r="L1" s="4"/>
      <c r="M1" s="4"/>
      <c r="N1" s="4"/>
      <c r="O1" s="4"/>
      <c r="P1" s="4"/>
      <c r="Q1" s="8"/>
      <c r="R1" s="4"/>
      <c r="S1" s="4"/>
      <c r="T1" s="4"/>
    </row>
    <row r="2" spans="1:20" ht="21">
      <c r="A2" s="4"/>
      <c r="B2" s="4"/>
      <c r="C2" s="618" t="s">
        <v>1136</v>
      </c>
      <c r="D2" s="618"/>
      <c r="E2" s="618"/>
      <c r="F2" s="618"/>
      <c r="G2" s="618"/>
      <c r="H2" s="618"/>
      <c r="I2" s="618"/>
      <c r="J2" s="618"/>
      <c r="K2" s="618"/>
      <c r="L2" s="618"/>
      <c r="M2" s="618"/>
      <c r="N2" s="618"/>
      <c r="O2" s="618"/>
      <c r="P2" s="618"/>
      <c r="Q2" s="618"/>
      <c r="R2" s="618"/>
      <c r="S2" s="618"/>
      <c r="T2" s="6"/>
    </row>
    <row r="3" spans="1:20">
      <c r="A3" s="4"/>
      <c r="B3" s="4"/>
      <c r="C3" s="646" t="s">
        <v>1137</v>
      </c>
      <c r="D3" s="646"/>
      <c r="E3" s="646"/>
      <c r="F3" s="646"/>
      <c r="G3" s="646"/>
      <c r="H3" s="646"/>
      <c r="I3" s="646"/>
      <c r="J3" s="646"/>
      <c r="K3" s="646"/>
      <c r="L3" s="646"/>
      <c r="M3" s="646"/>
      <c r="N3" s="646"/>
      <c r="O3" s="646"/>
      <c r="P3" s="646"/>
      <c r="Q3" s="646"/>
      <c r="R3" s="646"/>
      <c r="S3" s="646"/>
      <c r="T3" s="178"/>
    </row>
    <row r="4" spans="1:20">
      <c r="A4" s="4"/>
      <c r="B4" s="4"/>
      <c r="C4" s="4"/>
      <c r="D4" s="4"/>
      <c r="E4" s="4"/>
      <c r="F4" s="4"/>
      <c r="G4" s="4"/>
      <c r="H4" s="4"/>
      <c r="I4" s="4"/>
      <c r="J4" s="4"/>
      <c r="K4" s="4"/>
      <c r="L4" s="4"/>
      <c r="M4" s="4"/>
      <c r="N4" s="4"/>
      <c r="O4" s="4"/>
      <c r="P4" s="4"/>
      <c r="Q4" s="8"/>
      <c r="R4" s="4"/>
      <c r="S4" s="4"/>
      <c r="T4" s="4"/>
    </row>
    <row r="5" spans="1:20" ht="18.600000000000001">
      <c r="A5" s="4"/>
      <c r="B5" s="4"/>
      <c r="C5" s="102" t="s">
        <v>1138</v>
      </c>
      <c r="D5" s="102"/>
      <c r="E5" s="101"/>
      <c r="F5" s="101"/>
      <c r="G5" s="101"/>
      <c r="H5" s="101"/>
      <c r="I5" s="101"/>
      <c r="J5" s="101"/>
      <c r="K5" s="101"/>
      <c r="L5" s="101"/>
      <c r="M5" s="101"/>
      <c r="N5" s="101"/>
      <c r="O5" s="101"/>
      <c r="P5" s="101"/>
      <c r="Q5" s="103"/>
      <c r="R5" s="101"/>
      <c r="S5" s="101"/>
      <c r="T5" s="101"/>
    </row>
    <row r="6" spans="1:20">
      <c r="A6" s="4"/>
      <c r="B6" s="4"/>
      <c r="C6" s="4"/>
      <c r="D6" s="4"/>
      <c r="E6" s="20"/>
      <c r="F6" s="35"/>
      <c r="G6" s="32"/>
      <c r="H6" s="4"/>
      <c r="I6" s="4"/>
      <c r="J6" s="4"/>
      <c r="K6" s="4"/>
      <c r="L6" s="4"/>
      <c r="M6" s="4"/>
      <c r="N6" s="4"/>
      <c r="O6" s="4"/>
      <c r="P6" s="4"/>
      <c r="Q6" s="8"/>
      <c r="R6" s="4"/>
      <c r="S6" s="4"/>
      <c r="T6" s="4"/>
    </row>
    <row r="7" spans="1:20">
      <c r="A7" s="4"/>
      <c r="B7" s="4"/>
      <c r="C7" s="7"/>
      <c r="D7" s="7"/>
      <c r="E7" s="60"/>
      <c r="F7" s="96"/>
      <c r="G7" s="97"/>
      <c r="H7" s="7"/>
      <c r="I7" s="7"/>
      <c r="J7" s="7"/>
      <c r="K7" s="7"/>
      <c r="L7" s="7"/>
      <c r="M7" s="7"/>
      <c r="N7" s="7"/>
      <c r="O7" s="7"/>
      <c r="P7" s="7"/>
      <c r="Q7" s="54"/>
      <c r="R7" s="7"/>
      <c r="S7" s="7"/>
      <c r="T7" s="4"/>
    </row>
    <row r="8" spans="1:20">
      <c r="A8" s="4"/>
      <c r="B8" s="4"/>
      <c r="C8" s="7"/>
      <c r="D8" s="107" t="s">
        <v>890</v>
      </c>
      <c r="E8" s="185" t="s">
        <v>891</v>
      </c>
      <c r="F8" s="186"/>
      <c r="G8" s="187"/>
      <c r="H8" s="7"/>
      <c r="I8" s="83"/>
      <c r="J8" s="7"/>
      <c r="K8" s="7"/>
      <c r="L8" s="7"/>
      <c r="M8" s="7"/>
      <c r="N8" s="83"/>
      <c r="O8" s="7"/>
      <c r="P8" s="214" t="s">
        <v>1139</v>
      </c>
      <c r="Q8" s="214"/>
      <c r="R8" s="7"/>
      <c r="S8" s="7"/>
      <c r="T8" s="4"/>
    </row>
    <row r="9" spans="1:20">
      <c r="A9" s="4"/>
      <c r="B9" s="4"/>
      <c r="C9" s="7"/>
      <c r="D9" s="107" t="s">
        <v>892</v>
      </c>
      <c r="E9" s="185" t="s">
        <v>893</v>
      </c>
      <c r="F9" s="186"/>
      <c r="G9" s="187"/>
      <c r="H9" s="7"/>
      <c r="I9" s="7"/>
      <c r="J9" s="7"/>
      <c r="K9" s="7"/>
      <c r="L9" s="7"/>
      <c r="M9" s="7"/>
      <c r="N9" s="7"/>
      <c r="O9" s="7"/>
      <c r="P9" s="69" t="s">
        <v>1140</v>
      </c>
      <c r="Q9" s="69"/>
      <c r="R9" s="7"/>
      <c r="S9" s="7"/>
      <c r="T9" s="4"/>
    </row>
    <row r="10" spans="1:20">
      <c r="A10" s="4"/>
      <c r="B10" s="4"/>
      <c r="C10" s="7"/>
      <c r="D10" s="107" t="s">
        <v>117</v>
      </c>
      <c r="E10" s="185" t="s">
        <v>894</v>
      </c>
      <c r="F10" s="186"/>
      <c r="G10" s="187"/>
      <c r="H10" s="7"/>
      <c r="I10" s="7"/>
      <c r="J10" s="7"/>
      <c r="K10" s="7"/>
      <c r="L10" s="7"/>
      <c r="M10" s="7"/>
      <c r="N10" s="7"/>
      <c r="O10" s="7"/>
      <c r="P10" s="69" t="s">
        <v>1141</v>
      </c>
      <c r="Q10" s="69"/>
      <c r="R10" s="7"/>
      <c r="S10" s="7"/>
      <c r="T10" s="4"/>
    </row>
    <row r="11" spans="1:20">
      <c r="A11" s="4"/>
      <c r="B11" s="4"/>
      <c r="C11" s="7"/>
      <c r="D11" s="107" t="s">
        <v>822</v>
      </c>
      <c r="E11" s="185"/>
      <c r="F11" s="186"/>
      <c r="G11" s="187"/>
      <c r="H11" s="7"/>
      <c r="I11" s="7"/>
      <c r="J11" s="7"/>
      <c r="K11" s="7"/>
      <c r="L11" s="7"/>
      <c r="M11" s="7"/>
      <c r="N11" s="7"/>
      <c r="O11" s="7"/>
      <c r="P11" s="7"/>
      <c r="Q11" s="54"/>
      <c r="R11" s="7"/>
      <c r="S11" s="7"/>
      <c r="T11" s="4"/>
    </row>
    <row r="12" spans="1:20">
      <c r="A12" s="4"/>
      <c r="B12" s="4"/>
      <c r="C12" s="7"/>
      <c r="D12" s="107" t="s">
        <v>895</v>
      </c>
      <c r="E12" s="185"/>
      <c r="F12" s="186"/>
      <c r="G12" s="187"/>
      <c r="H12" s="7"/>
      <c r="I12" s="7"/>
      <c r="J12" s="7"/>
      <c r="K12" s="7"/>
      <c r="L12" s="7"/>
      <c r="M12" s="7"/>
      <c r="N12" s="7"/>
      <c r="O12" s="7"/>
      <c r="P12" s="7"/>
      <c r="Q12" s="54"/>
      <c r="R12" s="7"/>
      <c r="S12" s="7"/>
      <c r="T12" s="4"/>
    </row>
    <row r="13" spans="1:20">
      <c r="A13" s="4"/>
      <c r="B13" s="4"/>
      <c r="C13" s="7"/>
      <c r="D13" s="107" t="s">
        <v>896</v>
      </c>
      <c r="E13" s="185"/>
      <c r="F13" s="186"/>
      <c r="G13" s="187"/>
      <c r="H13" s="7"/>
      <c r="I13" s="7"/>
      <c r="J13" s="7"/>
      <c r="K13" s="7"/>
      <c r="L13" s="7"/>
      <c r="M13" s="7"/>
      <c r="N13" s="7"/>
      <c r="O13" s="7"/>
      <c r="P13" s="7"/>
      <c r="Q13" s="54"/>
      <c r="R13" s="7"/>
      <c r="S13" s="7"/>
      <c r="T13" s="4"/>
    </row>
    <row r="14" spans="1:20">
      <c r="A14" s="4"/>
      <c r="B14" s="4"/>
      <c r="C14" s="7"/>
      <c r="D14" s="107" t="s">
        <v>477</v>
      </c>
      <c r="E14" s="185"/>
      <c r="F14" s="186"/>
      <c r="G14" s="187"/>
      <c r="H14" s="7"/>
      <c r="I14" s="7"/>
      <c r="J14" s="7"/>
      <c r="K14" s="7"/>
      <c r="L14" s="7"/>
      <c r="M14" s="7"/>
      <c r="N14" s="7"/>
      <c r="O14" s="7"/>
      <c r="P14" s="7"/>
      <c r="Q14" s="54"/>
      <c r="R14" s="7"/>
      <c r="S14" s="7"/>
      <c r="T14" s="4"/>
    </row>
    <row r="15" spans="1:20">
      <c r="A15" s="4"/>
      <c r="B15" s="4"/>
      <c r="C15" s="7"/>
      <c r="D15" s="107" t="s">
        <v>897</v>
      </c>
      <c r="E15" s="185" t="s">
        <v>317</v>
      </c>
      <c r="F15" s="186"/>
      <c r="G15" s="187"/>
      <c r="H15" s="7"/>
      <c r="I15" s="7"/>
      <c r="J15" s="7"/>
      <c r="K15" s="7"/>
      <c r="L15" s="7"/>
      <c r="M15" s="7"/>
      <c r="N15" s="7"/>
      <c r="O15" s="7"/>
      <c r="P15" s="7"/>
      <c r="Q15" s="54"/>
      <c r="R15" s="7"/>
      <c r="S15" s="7"/>
      <c r="T15" s="4"/>
    </row>
    <row r="16" spans="1:20">
      <c r="A16" s="4"/>
      <c r="B16" s="4"/>
      <c r="C16" s="7"/>
      <c r="D16" s="107" t="s">
        <v>267</v>
      </c>
      <c r="E16" s="191" t="s">
        <v>328</v>
      </c>
      <c r="F16" s="215"/>
      <c r="G16" s="216"/>
      <c r="H16" s="7"/>
      <c r="I16" s="7"/>
      <c r="J16" s="7"/>
      <c r="K16" s="7"/>
      <c r="L16" s="7"/>
      <c r="M16" s="7"/>
      <c r="N16" s="7"/>
      <c r="O16" s="7"/>
      <c r="P16" s="7"/>
      <c r="Q16" s="54"/>
      <c r="R16" s="7"/>
      <c r="S16" s="7"/>
      <c r="T16" s="4"/>
    </row>
    <row r="17" spans="1:20">
      <c r="A17" s="4"/>
      <c r="B17" s="4"/>
      <c r="C17" s="7"/>
      <c r="D17" s="107" t="s">
        <v>898</v>
      </c>
      <c r="E17" s="653" t="s">
        <v>899</v>
      </c>
      <c r="F17" s="676"/>
      <c r="G17" s="654"/>
      <c r="H17" s="7"/>
      <c r="I17" s="7"/>
      <c r="J17" s="7"/>
      <c r="K17" s="7"/>
      <c r="L17" s="7"/>
      <c r="M17" s="7"/>
      <c r="N17" s="7"/>
      <c r="O17" s="7"/>
      <c r="P17" s="7"/>
      <c r="Q17" s="54"/>
      <c r="R17" s="7"/>
      <c r="S17" s="7"/>
      <c r="T17" s="4"/>
    </row>
    <row r="18" spans="1:20">
      <c r="A18" s="4"/>
      <c r="B18" s="4"/>
      <c r="C18" s="7"/>
      <c r="D18" s="107" t="s">
        <v>900</v>
      </c>
      <c r="E18" s="192">
        <v>45020</v>
      </c>
      <c r="F18" s="193"/>
      <c r="G18" s="194"/>
      <c r="H18" s="7"/>
      <c r="I18" s="7"/>
      <c r="J18" s="7"/>
      <c r="K18" s="7"/>
      <c r="L18" s="7"/>
      <c r="M18" s="7"/>
      <c r="N18" s="7"/>
      <c r="O18" s="7"/>
      <c r="P18" s="7"/>
      <c r="Q18" s="54"/>
      <c r="R18" s="7"/>
      <c r="S18" s="7"/>
      <c r="T18" s="4"/>
    </row>
    <row r="19" spans="1:20">
      <c r="A19" s="4"/>
      <c r="B19" s="4"/>
      <c r="C19" s="7"/>
      <c r="D19" s="107" t="s">
        <v>901</v>
      </c>
      <c r="E19" s="192">
        <v>45386</v>
      </c>
      <c r="F19" s="193"/>
      <c r="G19" s="194"/>
      <c r="H19" s="7"/>
      <c r="I19" s="7"/>
      <c r="J19" s="7"/>
      <c r="K19" s="7"/>
      <c r="L19" s="7"/>
      <c r="M19" s="7"/>
      <c r="N19" s="7"/>
      <c r="O19" s="7"/>
      <c r="P19" s="7"/>
      <c r="Q19" s="54"/>
      <c r="R19" s="7"/>
      <c r="S19" s="7"/>
      <c r="T19" s="4"/>
    </row>
    <row r="20" spans="1:20">
      <c r="A20" s="4"/>
      <c r="B20" s="4"/>
      <c r="C20" s="7"/>
      <c r="D20" s="107" t="s">
        <v>902</v>
      </c>
      <c r="E20" s="188">
        <v>43160</v>
      </c>
      <c r="F20" s="189"/>
      <c r="G20" s="190"/>
      <c r="H20" s="7"/>
      <c r="I20" s="7"/>
      <c r="J20" s="7"/>
      <c r="K20" s="7"/>
      <c r="L20" s="7"/>
      <c r="M20" s="7"/>
      <c r="N20" s="7"/>
      <c r="O20" s="7"/>
      <c r="P20" s="7"/>
      <c r="Q20" s="54"/>
      <c r="R20" s="7"/>
      <c r="S20" s="7"/>
      <c r="T20" s="4"/>
    </row>
    <row r="21" spans="1:20">
      <c r="A21" s="4"/>
      <c r="B21" s="4"/>
      <c r="C21" s="7"/>
      <c r="D21" s="107" t="s">
        <v>903</v>
      </c>
      <c r="E21" s="188" t="s">
        <v>904</v>
      </c>
      <c r="F21" s="189"/>
      <c r="G21" s="190"/>
      <c r="H21" s="7"/>
      <c r="I21" s="7"/>
      <c r="J21" s="7"/>
      <c r="K21" s="7"/>
      <c r="L21" s="7"/>
      <c r="M21" s="7"/>
      <c r="N21" s="7"/>
      <c r="O21" s="7"/>
      <c r="P21" s="7"/>
      <c r="Q21" s="54"/>
      <c r="R21" s="7"/>
      <c r="S21" s="7"/>
      <c r="T21" s="4"/>
    </row>
    <row r="22" spans="1:20">
      <c r="A22" s="4"/>
      <c r="B22" s="4"/>
      <c r="C22" s="7"/>
      <c r="D22" s="107" t="s">
        <v>905</v>
      </c>
      <c r="E22" s="188" t="s">
        <v>906</v>
      </c>
      <c r="F22" s="189"/>
      <c r="G22" s="190"/>
      <c r="H22" s="7"/>
      <c r="I22" s="7"/>
      <c r="J22" s="7"/>
      <c r="K22" s="7"/>
      <c r="L22" s="7"/>
      <c r="M22" s="7"/>
      <c r="N22" s="7"/>
      <c r="O22" s="7"/>
      <c r="P22" s="7"/>
      <c r="Q22" s="54"/>
      <c r="R22" s="7"/>
      <c r="S22" s="7"/>
      <c r="T22" s="4"/>
    </row>
    <row r="23" spans="1:20">
      <c r="A23" s="4"/>
      <c r="B23" s="4"/>
      <c r="C23" s="7"/>
      <c r="D23" s="108" t="s">
        <v>907</v>
      </c>
      <c r="E23" s="184" t="s">
        <v>908</v>
      </c>
      <c r="F23" s="217"/>
      <c r="G23" s="218"/>
      <c r="H23" s="7"/>
      <c r="I23" s="7"/>
      <c r="J23" s="7"/>
      <c r="K23" s="7"/>
      <c r="L23" s="7"/>
      <c r="M23" s="7"/>
      <c r="N23" s="7"/>
      <c r="O23" s="7"/>
      <c r="P23" s="7"/>
      <c r="Q23" s="54"/>
      <c r="R23" s="7"/>
      <c r="S23" s="7"/>
      <c r="T23" s="4"/>
    </row>
    <row r="24" spans="1:20">
      <c r="A24" s="4"/>
      <c r="B24" s="4"/>
      <c r="C24" s="7"/>
      <c r="D24" s="87"/>
      <c r="E24" s="67"/>
      <c r="F24" s="67"/>
      <c r="G24" s="67"/>
      <c r="H24" s="7"/>
      <c r="I24" s="7"/>
      <c r="J24" s="7"/>
      <c r="K24" s="7"/>
      <c r="L24" s="7"/>
      <c r="M24" s="7"/>
      <c r="N24" s="7"/>
      <c r="O24" s="7"/>
      <c r="P24" s="7"/>
      <c r="Q24" s="54"/>
      <c r="R24" s="7"/>
      <c r="S24" s="7"/>
      <c r="T24" s="4"/>
    </row>
    <row r="25" spans="1:20">
      <c r="A25" s="4"/>
      <c r="B25" s="4"/>
      <c r="C25" s="7"/>
      <c r="D25" s="87"/>
      <c r="E25" s="67"/>
      <c r="F25" s="67"/>
      <c r="G25" s="67"/>
      <c r="H25" s="7"/>
      <c r="I25" s="7"/>
      <c r="J25" s="7"/>
      <c r="K25" s="7"/>
      <c r="L25" s="7"/>
      <c r="M25" s="7"/>
      <c r="N25" s="7"/>
      <c r="O25" s="7"/>
      <c r="P25" s="7"/>
      <c r="Q25" s="54"/>
      <c r="R25" s="7"/>
      <c r="S25" s="7"/>
      <c r="T25" s="4"/>
    </row>
    <row r="26" spans="1:20">
      <c r="A26" s="4"/>
      <c r="B26" s="4"/>
      <c r="C26" s="7"/>
      <c r="D26" s="87"/>
      <c r="E26" s="67"/>
      <c r="F26" s="67"/>
      <c r="G26" s="67"/>
      <c r="H26" s="7"/>
      <c r="I26" s="7"/>
      <c r="J26" s="7"/>
      <c r="K26" s="7"/>
      <c r="L26" s="7"/>
      <c r="M26" s="7"/>
      <c r="N26" s="7"/>
      <c r="O26" s="7"/>
      <c r="P26" s="7"/>
      <c r="Q26" s="54"/>
      <c r="R26" s="7"/>
      <c r="S26" s="7"/>
      <c r="T26" s="4"/>
    </row>
    <row r="27" spans="1:20">
      <c r="A27" s="4"/>
      <c r="B27" s="4"/>
      <c r="C27" s="7"/>
      <c r="D27" s="87"/>
      <c r="E27" s="67"/>
      <c r="F27" s="67"/>
      <c r="G27" s="67"/>
      <c r="H27" s="7"/>
      <c r="I27" s="7"/>
      <c r="J27" s="7"/>
      <c r="K27" s="7"/>
      <c r="L27" s="7"/>
      <c r="M27" s="7"/>
      <c r="N27" s="7"/>
      <c r="O27" s="7"/>
      <c r="P27" s="7"/>
      <c r="Q27" s="54"/>
      <c r="R27" s="7"/>
      <c r="S27" s="7"/>
      <c r="T27" s="4"/>
    </row>
    <row r="28" spans="1:20">
      <c r="A28" s="4"/>
      <c r="B28" s="4"/>
      <c r="C28" s="7"/>
      <c r="D28" s="87"/>
      <c r="E28" s="67"/>
      <c r="F28" s="67"/>
      <c r="G28" s="67"/>
      <c r="H28" s="7"/>
      <c r="I28" s="7"/>
      <c r="J28" s="7"/>
      <c r="K28" s="7"/>
      <c r="L28" s="7"/>
      <c r="M28" s="7"/>
      <c r="N28" s="7"/>
      <c r="O28" s="7"/>
      <c r="P28" s="7"/>
      <c r="Q28" s="54"/>
      <c r="R28" s="7"/>
      <c r="S28" s="7"/>
      <c r="T28" s="4"/>
    </row>
    <row r="29" spans="1:20">
      <c r="A29" s="4"/>
      <c r="B29" s="4"/>
      <c r="C29" s="7"/>
      <c r="D29" s="87"/>
      <c r="E29" s="67"/>
      <c r="F29" s="67"/>
      <c r="G29" s="67"/>
      <c r="H29" s="7"/>
      <c r="I29" s="7"/>
      <c r="J29" s="7"/>
      <c r="K29" s="7"/>
      <c r="L29" s="7"/>
      <c r="M29" s="7"/>
      <c r="N29" s="7"/>
      <c r="O29" s="7"/>
      <c r="P29" s="7"/>
      <c r="Q29" s="54"/>
      <c r="R29" s="7"/>
      <c r="S29" s="7"/>
      <c r="T29" s="4"/>
    </row>
    <row r="30" spans="1:20">
      <c r="A30" s="4"/>
      <c r="B30" s="4"/>
      <c r="C30" s="7"/>
      <c r="D30" s="87"/>
      <c r="E30" s="67"/>
      <c r="F30" s="67"/>
      <c r="G30" s="67"/>
      <c r="H30" s="7"/>
      <c r="I30" s="7"/>
      <c r="J30" s="7"/>
      <c r="K30" s="7"/>
      <c r="L30" s="7"/>
      <c r="M30" s="7"/>
      <c r="N30" s="7"/>
      <c r="O30" s="7"/>
      <c r="P30" s="7"/>
      <c r="Q30" s="54"/>
      <c r="R30" s="7"/>
      <c r="S30" s="7"/>
      <c r="T30" s="4"/>
    </row>
    <row r="31" spans="1:20">
      <c r="A31" s="4"/>
      <c r="B31" s="4"/>
      <c r="C31" s="7"/>
      <c r="D31" s="7"/>
      <c r="E31" s="87"/>
      <c r="F31" s="70"/>
      <c r="G31" s="7"/>
      <c r="H31" s="7"/>
      <c r="I31" s="7"/>
      <c r="J31" s="7"/>
      <c r="K31" s="7"/>
      <c r="L31" s="7"/>
      <c r="M31" s="7"/>
      <c r="N31" s="7"/>
      <c r="O31" s="7"/>
      <c r="P31" s="7"/>
      <c r="Q31" s="54"/>
      <c r="R31" s="7"/>
      <c r="S31" s="7"/>
      <c r="T31" s="4"/>
    </row>
    <row r="32" spans="1:20">
      <c r="A32" s="4"/>
      <c r="B32" s="4"/>
      <c r="C32" s="7"/>
      <c r="D32" s="7"/>
      <c r="E32" s="87"/>
      <c r="F32" s="70"/>
      <c r="G32" s="7"/>
      <c r="H32" s="7"/>
      <c r="I32" s="7"/>
      <c r="J32" s="7"/>
      <c r="K32" s="7"/>
      <c r="L32" s="7"/>
      <c r="M32" s="7"/>
      <c r="N32" s="7"/>
      <c r="O32" s="7"/>
      <c r="P32" s="7"/>
      <c r="Q32" s="54"/>
      <c r="R32" s="7"/>
      <c r="S32" s="7"/>
      <c r="T32" s="4"/>
    </row>
    <row r="33" spans="1:20">
      <c r="A33" s="4"/>
      <c r="B33" s="4"/>
      <c r="C33" s="4"/>
      <c r="D33" s="4"/>
      <c r="E33" s="4"/>
      <c r="F33" s="4"/>
      <c r="G33" s="4"/>
      <c r="H33" s="4"/>
      <c r="I33" s="4"/>
      <c r="J33" s="4"/>
      <c r="K33" s="4"/>
      <c r="L33" s="4"/>
      <c r="M33" s="4"/>
      <c r="N33" s="4"/>
      <c r="O33" s="4"/>
      <c r="P33" s="4"/>
      <c r="Q33" s="8"/>
      <c r="R33" s="4"/>
      <c r="S33" s="4"/>
      <c r="T33" s="4"/>
    </row>
    <row r="34" spans="1:20" ht="18.600000000000001">
      <c r="A34" s="4"/>
      <c r="B34" s="4"/>
      <c r="C34" s="102" t="s">
        <v>1142</v>
      </c>
      <c r="D34" s="102"/>
      <c r="E34" s="101"/>
      <c r="F34" s="101"/>
      <c r="G34" s="101"/>
      <c r="H34" s="101"/>
      <c r="I34" s="101"/>
      <c r="J34" s="101"/>
      <c r="K34" s="101"/>
      <c r="L34" s="101"/>
      <c r="M34" s="101"/>
      <c r="N34" s="4"/>
      <c r="O34" s="101"/>
      <c r="P34" s="102"/>
      <c r="Q34" s="103"/>
      <c r="R34" s="101"/>
      <c r="S34" s="101"/>
      <c r="T34" s="101"/>
    </row>
    <row r="35" spans="1:20" outlineLevel="1">
      <c r="A35" s="4"/>
      <c r="B35" s="4"/>
      <c r="C35" s="4"/>
      <c r="D35" s="4"/>
      <c r="E35" s="4"/>
      <c r="F35" s="4"/>
      <c r="G35" s="4"/>
      <c r="H35" s="4"/>
      <c r="I35" s="4"/>
      <c r="J35" s="4"/>
      <c r="K35" s="4"/>
      <c r="L35" s="4"/>
      <c r="M35" s="4"/>
      <c r="N35" s="4"/>
      <c r="O35" s="4"/>
      <c r="P35" s="4"/>
      <c r="Q35" s="8"/>
      <c r="R35" s="4"/>
      <c r="S35" s="4"/>
      <c r="T35" s="4"/>
    </row>
    <row r="36" spans="1:20" ht="13.7" customHeight="1" outlineLevel="1">
      <c r="A36" s="4"/>
      <c r="B36" s="4"/>
      <c r="C36" s="7"/>
      <c r="D36" s="7" t="s">
        <v>1131</v>
      </c>
      <c r="E36" s="7"/>
      <c r="F36" s="7"/>
      <c r="G36" s="7"/>
      <c r="H36" s="7"/>
      <c r="I36" s="7"/>
      <c r="J36" s="7"/>
      <c r="K36" s="7"/>
      <c r="L36" s="7"/>
      <c r="M36" s="7"/>
      <c r="N36" s="7"/>
      <c r="O36" s="7"/>
      <c r="P36" s="7"/>
      <c r="Q36" s="7"/>
      <c r="R36" s="7"/>
      <c r="S36" s="7"/>
      <c r="T36" s="4"/>
    </row>
    <row r="37" spans="1:20" outlineLevel="1">
      <c r="A37" s="4"/>
      <c r="B37" s="4"/>
      <c r="C37" s="7"/>
      <c r="D37" s="7" t="s">
        <v>1143</v>
      </c>
      <c r="E37" s="7"/>
      <c r="F37" s="7"/>
      <c r="G37" s="7"/>
      <c r="H37" s="7"/>
      <c r="I37" s="7"/>
      <c r="J37" s="7"/>
      <c r="K37" s="7"/>
      <c r="L37" s="7"/>
      <c r="M37" s="7"/>
      <c r="N37" s="7"/>
      <c r="O37" s="7"/>
      <c r="P37" s="7"/>
      <c r="Q37" s="7"/>
      <c r="R37" s="7"/>
      <c r="S37" s="7"/>
      <c r="T37" s="4"/>
    </row>
    <row r="38" spans="1:20" ht="14.45" customHeight="1" outlineLevel="1">
      <c r="A38" s="4"/>
      <c r="B38" s="4"/>
      <c r="C38" s="7"/>
      <c r="D38" s="179" t="s">
        <v>1144</v>
      </c>
      <c r="E38" s="179"/>
      <c r="F38" s="179"/>
      <c r="G38" s="179"/>
      <c r="H38" s="179"/>
      <c r="I38" s="179"/>
      <c r="J38" s="179"/>
      <c r="K38" s="179"/>
      <c r="L38" s="179"/>
      <c r="M38" s="179"/>
      <c r="N38" s="179"/>
      <c r="O38" s="7"/>
      <c r="P38" s="7"/>
      <c r="Q38" s="7"/>
      <c r="R38" s="7"/>
      <c r="S38" s="7"/>
      <c r="T38" s="4"/>
    </row>
    <row r="39" spans="1:20" ht="14.45" customHeight="1" outlineLevel="1">
      <c r="A39" s="4"/>
      <c r="B39" s="4"/>
      <c r="C39" s="7"/>
      <c r="D39" s="179" t="s">
        <v>1145</v>
      </c>
      <c r="E39" s="179"/>
      <c r="F39" s="179"/>
      <c r="G39" s="179"/>
      <c r="H39" s="179"/>
      <c r="I39" s="179"/>
      <c r="J39" s="179"/>
      <c r="K39" s="179"/>
      <c r="L39" s="179"/>
      <c r="M39" s="179"/>
      <c r="N39" s="179"/>
      <c r="O39" s="7"/>
      <c r="P39" s="7"/>
      <c r="Q39" s="7"/>
      <c r="R39" s="7"/>
      <c r="S39" s="7"/>
      <c r="T39" s="4"/>
    </row>
    <row r="40" spans="1:20" ht="14.45" customHeight="1" outlineLevel="1">
      <c r="A40" s="4"/>
      <c r="B40" s="4"/>
      <c r="C40" s="7"/>
      <c r="D40" s="179" t="s">
        <v>1146</v>
      </c>
      <c r="E40" s="179"/>
      <c r="F40" s="179"/>
      <c r="G40" s="179"/>
      <c r="H40" s="179"/>
      <c r="I40" s="179"/>
      <c r="J40" s="179"/>
      <c r="K40" s="179"/>
      <c r="L40" s="179"/>
      <c r="M40" s="179"/>
      <c r="N40" s="179"/>
      <c r="O40" s="7"/>
      <c r="P40" s="7"/>
      <c r="Q40" s="7"/>
      <c r="R40" s="7"/>
      <c r="S40" s="7"/>
      <c r="T40" s="4"/>
    </row>
    <row r="41" spans="1:20" ht="14.45" customHeight="1" outlineLevel="1">
      <c r="A41" s="4"/>
      <c r="B41" s="4"/>
      <c r="C41" s="7"/>
      <c r="D41" s="180" t="s">
        <v>1147</v>
      </c>
      <c r="E41" s="179"/>
      <c r="F41" s="179"/>
      <c r="G41" s="179"/>
      <c r="H41" s="179"/>
      <c r="I41" s="179"/>
      <c r="J41" s="179"/>
      <c r="K41" s="179"/>
      <c r="L41" s="179"/>
      <c r="M41" s="179"/>
      <c r="N41" s="179"/>
      <c r="O41" s="7"/>
      <c r="P41" s="7"/>
      <c r="Q41" s="7"/>
      <c r="R41" s="7"/>
      <c r="S41" s="7"/>
      <c r="T41" s="4"/>
    </row>
    <row r="42" spans="1:20" ht="14.45" customHeight="1" outlineLevel="1">
      <c r="A42" s="4"/>
      <c r="B42" s="4"/>
      <c r="C42" s="7"/>
      <c r="D42" s="179" t="s">
        <v>1148</v>
      </c>
      <c r="E42" s="179"/>
      <c r="F42" s="179"/>
      <c r="G42" s="179"/>
      <c r="H42" s="179"/>
      <c r="I42" s="179"/>
      <c r="J42" s="179"/>
      <c r="K42" s="179"/>
      <c r="L42" s="179"/>
      <c r="M42" s="179"/>
      <c r="N42" s="179"/>
      <c r="O42" s="7"/>
      <c r="P42" s="7"/>
      <c r="Q42" s="7"/>
      <c r="R42" s="7"/>
      <c r="S42" s="7"/>
      <c r="T42" s="4"/>
    </row>
    <row r="43" spans="1:20" ht="14.45" customHeight="1" outlineLevel="1">
      <c r="A43" s="4"/>
      <c r="B43" s="4"/>
      <c r="C43" s="7"/>
      <c r="D43" s="7" t="s">
        <v>1149</v>
      </c>
      <c r="E43" s="7"/>
      <c r="F43" s="7"/>
      <c r="G43" s="7"/>
      <c r="H43" s="7"/>
      <c r="I43" s="7"/>
      <c r="J43" s="7"/>
      <c r="K43" s="7"/>
      <c r="L43" s="7"/>
      <c r="M43" s="7"/>
      <c r="N43" s="7"/>
      <c r="O43" s="7"/>
      <c r="P43" s="7"/>
      <c r="Q43" s="7"/>
      <c r="R43" s="7"/>
      <c r="S43" s="7"/>
      <c r="T43" s="4"/>
    </row>
    <row r="44" spans="1:20" ht="14.45" customHeight="1" outlineLevel="1">
      <c r="A44" s="4"/>
      <c r="B44" s="4"/>
      <c r="C44" s="7"/>
      <c r="D44" s="180" t="s">
        <v>1150</v>
      </c>
      <c r="E44" s="180"/>
      <c r="F44" s="180"/>
      <c r="G44" s="180"/>
      <c r="H44" s="180"/>
      <c r="I44" s="180"/>
      <c r="J44" s="180"/>
      <c r="K44" s="180"/>
      <c r="L44" s="180"/>
      <c r="M44" s="180"/>
      <c r="N44" s="180"/>
      <c r="O44" s="7"/>
      <c r="P44" s="7"/>
      <c r="Q44" s="7"/>
      <c r="R44" s="7"/>
      <c r="S44" s="7"/>
      <c r="T44" s="4"/>
    </row>
    <row r="45" spans="1:20" ht="14.45" customHeight="1" outlineLevel="1">
      <c r="A45" s="4"/>
      <c r="B45" s="4"/>
      <c r="C45" s="7"/>
      <c r="D45" s="93" t="s">
        <v>1151</v>
      </c>
      <c r="E45" s="93"/>
      <c r="F45" s="93"/>
      <c r="G45" s="93"/>
      <c r="H45" s="93"/>
      <c r="I45" s="93"/>
      <c r="J45" s="93"/>
      <c r="K45" s="93"/>
      <c r="L45" s="93"/>
      <c r="M45" s="93"/>
      <c r="N45" s="93"/>
      <c r="O45" s="7"/>
      <c r="P45" s="7"/>
      <c r="Q45" s="7"/>
      <c r="R45" s="7"/>
      <c r="S45" s="7"/>
      <c r="T45" s="4"/>
    </row>
    <row r="46" spans="1:20" ht="14.45" customHeight="1" outlineLevel="1">
      <c r="A46" s="4"/>
      <c r="B46" s="4"/>
      <c r="C46" s="7"/>
      <c r="D46" s="179" t="s">
        <v>1152</v>
      </c>
      <c r="E46" s="179"/>
      <c r="F46" s="179"/>
      <c r="G46" s="179"/>
      <c r="H46" s="179"/>
      <c r="I46" s="179"/>
      <c r="J46" s="179"/>
      <c r="K46" s="179"/>
      <c r="L46" s="179"/>
      <c r="M46" s="179"/>
      <c r="N46" s="179"/>
      <c r="O46" s="7"/>
      <c r="P46" s="7"/>
      <c r="Q46" s="7"/>
      <c r="R46" s="7"/>
      <c r="S46" s="7"/>
      <c r="T46" s="4"/>
    </row>
    <row r="47" spans="1:20" ht="14.45" customHeight="1" outlineLevel="1">
      <c r="A47" s="4"/>
      <c r="B47" s="4"/>
      <c r="C47" s="7"/>
      <c r="D47" s="179" t="s">
        <v>1153</v>
      </c>
      <c r="E47" s="179"/>
      <c r="F47" s="179"/>
      <c r="G47" s="179"/>
      <c r="H47" s="179"/>
      <c r="I47" s="179"/>
      <c r="J47" s="179"/>
      <c r="K47" s="179"/>
      <c r="L47" s="179"/>
      <c r="M47" s="179"/>
      <c r="N47" s="179"/>
      <c r="O47" s="7"/>
      <c r="P47" s="7"/>
      <c r="Q47" s="7"/>
      <c r="R47" s="7"/>
      <c r="S47" s="7"/>
      <c r="T47" s="4"/>
    </row>
    <row r="48" spans="1:20" ht="14.45" customHeight="1" outlineLevel="1">
      <c r="A48" s="4"/>
      <c r="B48" s="4"/>
      <c r="C48" s="7"/>
      <c r="D48" s="179" t="s">
        <v>1154</v>
      </c>
      <c r="E48" s="179"/>
      <c r="F48" s="179"/>
      <c r="G48" s="179"/>
      <c r="H48" s="179"/>
      <c r="I48" s="179"/>
      <c r="J48" s="179"/>
      <c r="K48" s="179"/>
      <c r="L48" s="179"/>
      <c r="M48" s="179"/>
      <c r="N48" s="179"/>
      <c r="O48" s="7"/>
      <c r="P48" s="7"/>
      <c r="Q48" s="7"/>
      <c r="R48" s="7"/>
      <c r="S48" s="7"/>
      <c r="T48" s="4"/>
    </row>
    <row r="49" spans="1:20" ht="14.45" customHeight="1" outlineLevel="1">
      <c r="A49" s="4"/>
      <c r="B49" s="4"/>
      <c r="C49" s="7"/>
      <c r="D49" s="179" t="s">
        <v>1155</v>
      </c>
      <c r="E49" s="179"/>
      <c r="F49" s="179"/>
      <c r="G49" s="179"/>
      <c r="H49" s="179"/>
      <c r="I49" s="179"/>
      <c r="J49" s="179"/>
      <c r="K49" s="179"/>
      <c r="L49" s="179"/>
      <c r="M49" s="179"/>
      <c r="N49" s="179"/>
      <c r="O49" s="7"/>
      <c r="P49" s="7"/>
      <c r="Q49" s="7"/>
      <c r="R49" s="7"/>
      <c r="S49" s="7"/>
      <c r="T49" s="4"/>
    </row>
    <row r="50" spans="1:20" ht="14.45" customHeight="1" outlineLevel="1">
      <c r="A50" s="4"/>
      <c r="B50" s="4"/>
      <c r="C50" s="7"/>
      <c r="D50" s="179" t="s">
        <v>1156</v>
      </c>
      <c r="E50" s="179"/>
      <c r="F50" s="179"/>
      <c r="G50" s="179"/>
      <c r="H50" s="179"/>
      <c r="I50" s="179"/>
      <c r="J50" s="179"/>
      <c r="K50" s="179"/>
      <c r="L50" s="179"/>
      <c r="M50" s="179"/>
      <c r="N50" s="179"/>
      <c r="O50" s="7"/>
      <c r="P50" s="7"/>
      <c r="Q50" s="7"/>
      <c r="R50" s="7"/>
      <c r="S50" s="7"/>
      <c r="T50" s="4"/>
    </row>
    <row r="51" spans="1:20" ht="14.45" customHeight="1" outlineLevel="1">
      <c r="A51" s="4"/>
      <c r="B51" s="4"/>
      <c r="C51" s="7"/>
      <c r="D51" s="93" t="s">
        <v>1157</v>
      </c>
      <c r="E51" s="93"/>
      <c r="F51" s="93"/>
      <c r="G51" s="93"/>
      <c r="H51" s="93"/>
      <c r="I51" s="93"/>
      <c r="J51" s="93"/>
      <c r="K51" s="93"/>
      <c r="L51" s="93"/>
      <c r="M51" s="93"/>
      <c r="N51" s="93"/>
      <c r="O51" s="61"/>
      <c r="P51" s="61"/>
      <c r="Q51" s="61"/>
      <c r="R51" s="61"/>
      <c r="S51" s="61"/>
      <c r="T51" s="100"/>
    </row>
    <row r="52" spans="1:20" ht="14.45" customHeight="1" outlineLevel="1">
      <c r="A52" s="4"/>
      <c r="B52" s="4"/>
      <c r="C52" s="7"/>
      <c r="D52" s="93" t="s">
        <v>1158</v>
      </c>
      <c r="E52" s="93"/>
      <c r="F52" s="93"/>
      <c r="G52" s="93"/>
      <c r="H52" s="93"/>
      <c r="I52" s="93"/>
      <c r="J52" s="93"/>
      <c r="K52" s="93"/>
      <c r="L52" s="93"/>
      <c r="M52" s="93"/>
      <c r="N52" s="93"/>
      <c r="O52" s="61"/>
      <c r="P52" s="61"/>
      <c r="Q52" s="61"/>
      <c r="R52" s="61"/>
      <c r="S52" s="61"/>
      <c r="T52" s="100"/>
    </row>
    <row r="53" spans="1:20" ht="14.45" customHeight="1" outlineLevel="1">
      <c r="A53" s="4"/>
      <c r="B53" s="4"/>
      <c r="C53" s="7"/>
      <c r="D53" s="93" t="s">
        <v>1159</v>
      </c>
      <c r="E53" s="93"/>
      <c r="F53" s="93"/>
      <c r="G53" s="93"/>
      <c r="H53" s="93"/>
      <c r="I53" s="93"/>
      <c r="J53" s="93"/>
      <c r="K53" s="93"/>
      <c r="L53" s="93"/>
      <c r="M53" s="93"/>
      <c r="N53" s="93"/>
      <c r="O53" s="61"/>
      <c r="P53" s="61"/>
      <c r="Q53" s="61"/>
      <c r="R53" s="61"/>
      <c r="S53" s="61"/>
      <c r="T53" s="100"/>
    </row>
    <row r="54" spans="1:20" outlineLevel="1">
      <c r="A54" s="4"/>
      <c r="B54" s="4"/>
      <c r="C54" s="7"/>
      <c r="D54" s="7"/>
      <c r="E54" s="7"/>
      <c r="F54" s="7"/>
      <c r="G54" s="7"/>
      <c r="H54" s="7"/>
      <c r="I54" s="7"/>
      <c r="J54" s="7"/>
      <c r="K54" s="7"/>
      <c r="L54" s="7"/>
      <c r="M54" s="7"/>
      <c r="N54" s="7"/>
      <c r="O54" s="61"/>
      <c r="P54" s="61"/>
      <c r="Q54" s="61"/>
      <c r="R54" s="61"/>
      <c r="S54" s="61"/>
      <c r="T54" s="100"/>
    </row>
    <row r="55" spans="1:20" outlineLevel="1">
      <c r="A55" s="4"/>
      <c r="B55" s="4"/>
      <c r="C55" s="4"/>
      <c r="D55" s="4"/>
      <c r="E55" s="71"/>
      <c r="F55" s="4"/>
      <c r="G55" s="4"/>
      <c r="H55" s="4"/>
      <c r="I55" s="4"/>
      <c r="J55" s="4"/>
      <c r="K55" s="4"/>
      <c r="L55" s="4"/>
      <c r="M55" s="4"/>
      <c r="N55" s="100"/>
      <c r="O55" s="100"/>
      <c r="P55" s="100"/>
      <c r="Q55" s="105"/>
      <c r="R55" s="100"/>
      <c r="S55" s="100"/>
      <c r="T55" s="100"/>
    </row>
    <row r="56" spans="1:20" outlineLevel="1">
      <c r="A56" s="4"/>
      <c r="B56" s="4"/>
      <c r="C56" s="7"/>
      <c r="D56" s="7"/>
      <c r="E56" s="66"/>
      <c r="F56" s="7"/>
      <c r="G56" s="7"/>
      <c r="H56" s="7"/>
      <c r="I56" s="7"/>
      <c r="J56" s="7"/>
      <c r="K56" s="7"/>
      <c r="L56" s="7"/>
      <c r="M56" s="7"/>
      <c r="N56" s="61"/>
      <c r="O56" s="61"/>
      <c r="P56" s="61"/>
      <c r="Q56" s="104"/>
      <c r="R56" s="61"/>
      <c r="S56" s="61"/>
      <c r="T56" s="100"/>
    </row>
    <row r="57" spans="1:20" outlineLevel="1">
      <c r="A57" s="4"/>
      <c r="B57" s="4"/>
      <c r="C57" s="7"/>
      <c r="D57" s="630" t="s">
        <v>1160</v>
      </c>
      <c r="E57" s="630"/>
      <c r="F57" s="222">
        <v>1</v>
      </c>
      <c r="G57" s="7"/>
      <c r="H57" s="7"/>
      <c r="I57" s="7"/>
      <c r="J57" s="7"/>
      <c r="K57" s="7"/>
      <c r="L57" s="7"/>
      <c r="M57" s="7"/>
      <c r="N57" s="7"/>
      <c r="O57" s="7"/>
      <c r="P57" s="7"/>
      <c r="Q57" s="7"/>
      <c r="R57" s="7"/>
      <c r="S57" s="7"/>
      <c r="T57" s="4"/>
    </row>
    <row r="58" spans="1:20" outlineLevel="1">
      <c r="A58" s="4"/>
      <c r="B58" s="4"/>
      <c r="C58" s="7"/>
      <c r="D58" s="630" t="s">
        <v>1161</v>
      </c>
      <c r="E58" s="630"/>
      <c r="F58" s="222">
        <v>2</v>
      </c>
      <c r="G58" s="7"/>
      <c r="H58" s="7"/>
      <c r="I58" s="7"/>
      <c r="J58" s="7"/>
      <c r="K58" s="7"/>
      <c r="L58" s="7"/>
      <c r="M58" s="7"/>
      <c r="N58" s="7"/>
      <c r="O58" s="7"/>
      <c r="P58" s="7"/>
      <c r="Q58" s="7"/>
      <c r="R58" s="7"/>
      <c r="S58" s="7"/>
      <c r="T58" s="4"/>
    </row>
    <row r="59" spans="1:20" outlineLevel="1">
      <c r="A59" s="4"/>
      <c r="B59" s="4"/>
      <c r="C59" s="7"/>
      <c r="D59" s="630" t="s">
        <v>1162</v>
      </c>
      <c r="E59" s="630"/>
      <c r="F59" s="222">
        <v>3</v>
      </c>
      <c r="G59" s="7"/>
      <c r="H59" s="7"/>
      <c r="I59" s="7"/>
      <c r="J59" s="7"/>
      <c r="K59" s="7"/>
      <c r="L59" s="7"/>
      <c r="M59" s="7"/>
      <c r="N59" s="7"/>
      <c r="O59" s="7"/>
      <c r="P59" s="7"/>
      <c r="Q59" s="7"/>
      <c r="R59" s="7"/>
      <c r="S59" s="7"/>
      <c r="T59" s="4"/>
    </row>
    <row r="60" spans="1:20" outlineLevel="1">
      <c r="A60" s="4"/>
      <c r="B60" s="4"/>
      <c r="C60" s="7"/>
      <c r="D60" s="630" t="s">
        <v>1163</v>
      </c>
      <c r="E60" s="630"/>
      <c r="F60" s="222">
        <v>4</v>
      </c>
      <c r="G60" s="7"/>
      <c r="H60" s="7"/>
      <c r="I60" s="7"/>
      <c r="J60" s="7"/>
      <c r="K60" s="7"/>
      <c r="L60" s="7"/>
      <c r="M60" s="7"/>
      <c r="N60" s="7"/>
      <c r="O60" s="7"/>
      <c r="P60" s="7"/>
      <c r="Q60" s="7"/>
      <c r="R60" s="7"/>
      <c r="S60" s="7"/>
      <c r="T60" s="4"/>
    </row>
    <row r="61" spans="1:20" outlineLevel="1">
      <c r="A61" s="4"/>
      <c r="B61" s="4"/>
      <c r="C61" s="7"/>
      <c r="D61" s="183"/>
      <c r="E61" s="183"/>
      <c r="F61" s="96"/>
      <c r="G61" s="7"/>
      <c r="H61" s="7"/>
      <c r="I61" s="7"/>
      <c r="J61" s="7"/>
      <c r="K61" s="7"/>
      <c r="L61" s="7"/>
      <c r="M61" s="7"/>
      <c r="N61" s="7"/>
      <c r="O61" s="7"/>
      <c r="P61" s="7"/>
      <c r="Q61" s="7"/>
      <c r="R61" s="7"/>
      <c r="S61" s="7"/>
      <c r="T61" s="4"/>
    </row>
    <row r="62" spans="1:20" outlineLevel="1">
      <c r="A62" s="4"/>
      <c r="B62" s="4"/>
      <c r="C62" s="4"/>
      <c r="D62" s="213"/>
      <c r="E62" s="213"/>
      <c r="F62" s="35"/>
      <c r="G62" s="4"/>
      <c r="H62" s="4"/>
      <c r="I62" s="4"/>
      <c r="J62" s="4"/>
      <c r="K62" s="4"/>
      <c r="L62" s="4"/>
      <c r="M62" s="4"/>
      <c r="N62" s="4"/>
      <c r="O62" s="4"/>
      <c r="P62" s="4"/>
      <c r="Q62" s="4"/>
      <c r="R62" s="4"/>
      <c r="S62" s="4"/>
      <c r="T62" s="4"/>
    </row>
    <row r="63" spans="1:20" outlineLevel="1">
      <c r="A63" s="4"/>
      <c r="B63" s="4"/>
      <c r="C63" s="7"/>
      <c r="D63" s="7"/>
      <c r="E63" s="7"/>
      <c r="F63" s="7"/>
      <c r="G63" s="7"/>
      <c r="H63" s="7"/>
      <c r="I63" s="7"/>
      <c r="J63" s="7"/>
      <c r="K63" s="7"/>
      <c r="L63" s="7"/>
      <c r="M63" s="7"/>
      <c r="N63" s="7"/>
      <c r="O63" s="7"/>
      <c r="P63" s="7"/>
      <c r="Q63" s="7"/>
      <c r="R63" s="7"/>
      <c r="S63" s="7"/>
      <c r="T63" s="4"/>
    </row>
    <row r="64" spans="1:20" s="16" customFormat="1" ht="44.1" outlineLevel="1" thickBot="1">
      <c r="A64" s="55"/>
      <c r="B64" s="55"/>
      <c r="C64" s="99"/>
      <c r="D64" s="480" t="s">
        <v>1164</v>
      </c>
      <c r="E64" s="314" t="s">
        <v>1165</v>
      </c>
      <c r="F64" s="390" t="s">
        <v>1166</v>
      </c>
      <c r="G64" s="314" t="s">
        <v>1167</v>
      </c>
      <c r="H64" s="314" t="s">
        <v>1168</v>
      </c>
      <c r="I64" s="314" t="s">
        <v>975</v>
      </c>
      <c r="J64" s="314" t="s">
        <v>981</v>
      </c>
      <c r="K64" s="314" t="s">
        <v>979</v>
      </c>
      <c r="L64" s="314" t="s">
        <v>980</v>
      </c>
      <c r="M64" s="314" t="s">
        <v>982</v>
      </c>
      <c r="N64" s="314" t="s">
        <v>1169</v>
      </c>
      <c r="O64" s="390" t="s">
        <v>1140</v>
      </c>
      <c r="P64" s="314" t="s">
        <v>1141</v>
      </c>
      <c r="Q64" s="314" t="s">
        <v>1170</v>
      </c>
      <c r="R64" s="388" t="s">
        <v>1171</v>
      </c>
      <c r="S64" s="85"/>
      <c r="T64" s="79"/>
    </row>
    <row r="65" spans="1:20" ht="116.1" outlineLevel="1">
      <c r="A65" s="4"/>
      <c r="B65" s="4"/>
      <c r="C65" s="7"/>
      <c r="D65" s="673" t="s">
        <v>349</v>
      </c>
      <c r="E65" s="479" t="s">
        <v>608</v>
      </c>
      <c r="F65" s="16" t="s">
        <v>1172</v>
      </c>
      <c r="G65" s="385" t="s">
        <v>1173</v>
      </c>
      <c r="H65" s="385" t="s">
        <v>1173</v>
      </c>
      <c r="I65" s="385" t="s">
        <v>1173</v>
      </c>
      <c r="J65" s="385" t="s">
        <v>1174</v>
      </c>
      <c r="K65" s="385" t="s">
        <v>1175</v>
      </c>
      <c r="L65" s="385" t="s">
        <v>1176</v>
      </c>
      <c r="M65" s="385" t="s">
        <v>1173</v>
      </c>
      <c r="N65" s="385" t="s">
        <v>1177</v>
      </c>
      <c r="O65" s="291" t="s">
        <v>1178</v>
      </c>
      <c r="P65" s="385" t="s">
        <v>834</v>
      </c>
      <c r="Q65" s="384"/>
      <c r="R65" s="394"/>
      <c r="S65" s="7"/>
      <c r="T65" s="4"/>
    </row>
    <row r="66" spans="1:20" ht="15" outlineLevel="1" thickBot="1">
      <c r="A66" s="4"/>
      <c r="B66" s="4"/>
      <c r="C66" s="7"/>
      <c r="D66" s="674"/>
      <c r="E66" s="400" t="s">
        <v>608</v>
      </c>
      <c r="F66" s="382" t="s">
        <v>1179</v>
      </c>
      <c r="G66" s="383" t="s">
        <v>319</v>
      </c>
      <c r="H66" s="383" t="s">
        <v>319</v>
      </c>
      <c r="I66" s="383" t="s">
        <v>319</v>
      </c>
      <c r="J66" s="383" t="s">
        <v>331</v>
      </c>
      <c r="K66" s="383" t="s">
        <v>331</v>
      </c>
      <c r="L66" s="383" t="s">
        <v>335</v>
      </c>
      <c r="M66" s="383" t="s">
        <v>319</v>
      </c>
      <c r="N66" s="383" t="s">
        <v>335</v>
      </c>
      <c r="O66" s="383" t="s">
        <v>335</v>
      </c>
      <c r="P66" s="383" t="s">
        <v>319</v>
      </c>
      <c r="Q66" s="381"/>
      <c r="R66" s="401"/>
      <c r="S66" s="7"/>
      <c r="T66" s="4"/>
    </row>
    <row r="67" spans="1:20" outlineLevel="1">
      <c r="A67" s="4"/>
      <c r="B67" s="4"/>
      <c r="C67" s="7"/>
      <c r="D67" s="674"/>
      <c r="E67" s="16"/>
      <c r="F67" s="16" t="s">
        <v>1180</v>
      </c>
      <c r="G67" s="16" t="s">
        <v>1181</v>
      </c>
      <c r="H67" s="16" t="s">
        <v>1182</v>
      </c>
      <c r="I67" s="16" t="s">
        <v>1183</v>
      </c>
      <c r="J67" s="16" t="s">
        <v>1184</v>
      </c>
      <c r="K67" s="16" t="s">
        <v>1184</v>
      </c>
      <c r="L67" s="16" t="s">
        <v>1185</v>
      </c>
      <c r="M67" s="16" t="s">
        <v>1186</v>
      </c>
      <c r="N67" s="16" t="s">
        <v>1187</v>
      </c>
      <c r="O67" s="16" t="s">
        <v>1182</v>
      </c>
      <c r="P67" s="16" t="s">
        <v>1182</v>
      </c>
      <c r="Q67" s="114" t="s">
        <v>1188</v>
      </c>
      <c r="R67" s="395"/>
      <c r="S67" s="7"/>
      <c r="T67" s="4"/>
    </row>
    <row r="68" spans="1:20" outlineLevel="1">
      <c r="A68" s="4"/>
      <c r="B68" s="4"/>
      <c r="C68" s="7"/>
      <c r="D68" s="674"/>
      <c r="E68" s="16" t="s">
        <v>622</v>
      </c>
      <c r="F68" s="16" t="s">
        <v>1189</v>
      </c>
      <c r="G68" s="386">
        <v>0.99990000000000001</v>
      </c>
      <c r="H68" s="386">
        <v>1</v>
      </c>
      <c r="I68" s="386">
        <v>0.99950000000000006</v>
      </c>
      <c r="J68" s="386">
        <v>0.999</v>
      </c>
      <c r="K68" s="386">
        <v>0.99950000000000006</v>
      </c>
      <c r="L68" s="386">
        <v>0.999</v>
      </c>
      <c r="M68" s="386">
        <v>0.99990000000000001</v>
      </c>
      <c r="N68" s="386">
        <v>0.99995000000000001</v>
      </c>
      <c r="O68" s="387">
        <v>0.99</v>
      </c>
      <c r="P68" s="387">
        <v>0.99</v>
      </c>
      <c r="Q68" s="354">
        <f>Table859193[[#This Row],[Azure AD]]*Table859193[[#This Row],[Azure DNS (Public)]]*Table859193[[#This Row],[App Service Plan]]*Table859193[[#This Row],[Azure Service Bus]]*Table859193[[#This Row],[Azure Function App]]*Table859193[[#This Row],[Azure Redis Cache]]*M68*N68*O68*P68</f>
        <v>0.97691861267690061</v>
      </c>
      <c r="R68" s="395" t="s">
        <v>1190</v>
      </c>
      <c r="S68" s="7"/>
      <c r="T68" s="4"/>
    </row>
    <row r="69" spans="1:20" ht="57.95" outlineLevel="1">
      <c r="A69" s="4"/>
      <c r="B69" s="4"/>
      <c r="C69" s="7"/>
      <c r="D69" s="674"/>
      <c r="E69" s="16" t="s">
        <v>622</v>
      </c>
      <c r="F69" s="16" t="s">
        <v>1191</v>
      </c>
      <c r="G69" s="18" t="s">
        <v>1192</v>
      </c>
      <c r="H69" s="18" t="s">
        <v>1192</v>
      </c>
      <c r="I69" s="18" t="s">
        <v>1193</v>
      </c>
      <c r="J69" s="18" t="s">
        <v>1192</v>
      </c>
      <c r="K69" s="18" t="s">
        <v>1192</v>
      </c>
      <c r="L69" s="18" t="s">
        <v>1194</v>
      </c>
      <c r="M69" s="18" t="s">
        <v>1195</v>
      </c>
      <c r="N69" s="18" t="s">
        <v>1196</v>
      </c>
      <c r="O69" s="18" t="s">
        <v>1188</v>
      </c>
      <c r="P69" s="18" t="s">
        <v>1188</v>
      </c>
      <c r="Q69" s="18"/>
      <c r="R69" s="395"/>
      <c r="S69" s="7"/>
      <c r="T69" s="4"/>
    </row>
    <row r="70" spans="1:20" ht="43.5" outlineLevel="1">
      <c r="A70" s="4"/>
      <c r="B70" s="4"/>
      <c r="C70" s="7"/>
      <c r="D70" s="674"/>
      <c r="E70" s="16" t="s">
        <v>622</v>
      </c>
      <c r="F70" s="16" t="s">
        <v>1197</v>
      </c>
      <c r="G70" s="114">
        <v>1</v>
      </c>
      <c r="H70" s="114">
        <v>1</v>
      </c>
      <c r="I70" s="114">
        <v>1</v>
      </c>
      <c r="J70" s="114">
        <v>1</v>
      </c>
      <c r="K70" s="114">
        <v>1</v>
      </c>
      <c r="L70" s="114">
        <v>3</v>
      </c>
      <c r="M70" s="114">
        <v>3</v>
      </c>
      <c r="N70" s="114">
        <v>3</v>
      </c>
      <c r="O70" s="114">
        <v>3</v>
      </c>
      <c r="P70" s="114">
        <v>3</v>
      </c>
      <c r="Q70" s="114">
        <v>3</v>
      </c>
      <c r="R70" s="395" t="s">
        <v>1198</v>
      </c>
      <c r="S70" s="7"/>
      <c r="T70" s="4"/>
    </row>
    <row r="71" spans="1:20" ht="43.5" outlineLevel="1">
      <c r="A71" s="4"/>
      <c r="B71" s="4"/>
      <c r="C71" s="7"/>
      <c r="D71" s="674"/>
      <c r="E71" s="16" t="s">
        <v>613</v>
      </c>
      <c r="F71" s="16" t="s">
        <v>359</v>
      </c>
      <c r="G71" s="114">
        <v>1</v>
      </c>
      <c r="H71" s="114">
        <v>1</v>
      </c>
      <c r="I71" s="114">
        <v>1</v>
      </c>
      <c r="J71" s="114">
        <v>1</v>
      </c>
      <c r="K71" s="114">
        <v>1</v>
      </c>
      <c r="L71" s="114">
        <v>1</v>
      </c>
      <c r="M71" s="114">
        <v>1</v>
      </c>
      <c r="N71" s="114">
        <v>1</v>
      </c>
      <c r="O71" s="114">
        <v>1</v>
      </c>
      <c r="P71" s="114">
        <v>1</v>
      </c>
      <c r="Q71" s="114">
        <v>1</v>
      </c>
      <c r="R71" s="395" t="s">
        <v>1199</v>
      </c>
      <c r="S71" s="7"/>
      <c r="T71" s="4"/>
    </row>
    <row r="72" spans="1:20" ht="29.1" outlineLevel="1">
      <c r="A72" s="4"/>
      <c r="B72" s="4"/>
      <c r="C72" s="7"/>
      <c r="D72" s="674"/>
      <c r="E72" s="16" t="s">
        <v>626</v>
      </c>
      <c r="F72" s="16" t="s">
        <v>197</v>
      </c>
      <c r="G72" s="114">
        <v>4</v>
      </c>
      <c r="H72" s="114">
        <v>4</v>
      </c>
      <c r="I72" s="114">
        <v>3</v>
      </c>
      <c r="J72" s="114">
        <v>3</v>
      </c>
      <c r="K72" s="114">
        <v>3</v>
      </c>
      <c r="L72" s="114">
        <v>3</v>
      </c>
      <c r="M72" s="114">
        <v>3</v>
      </c>
      <c r="N72" s="114">
        <v>3</v>
      </c>
      <c r="O72" s="114">
        <v>1</v>
      </c>
      <c r="P72" s="114">
        <v>1</v>
      </c>
      <c r="Q72" s="114">
        <v>3</v>
      </c>
      <c r="R72" s="395" t="s">
        <v>1200</v>
      </c>
      <c r="S72" s="7"/>
      <c r="T72" s="4"/>
    </row>
    <row r="73" spans="1:20" ht="29.1" outlineLevel="1">
      <c r="A73" s="4"/>
      <c r="B73" s="4"/>
      <c r="C73" s="7"/>
      <c r="D73" s="674"/>
      <c r="E73" s="16" t="s">
        <v>628</v>
      </c>
      <c r="F73" s="16" t="s">
        <v>191</v>
      </c>
      <c r="G73" s="114">
        <v>4</v>
      </c>
      <c r="H73" s="114">
        <v>4</v>
      </c>
      <c r="I73" s="114">
        <v>3</v>
      </c>
      <c r="J73" s="114">
        <v>3</v>
      </c>
      <c r="K73" s="114">
        <v>3</v>
      </c>
      <c r="L73" s="114">
        <v>3</v>
      </c>
      <c r="M73" s="114">
        <v>3</v>
      </c>
      <c r="N73" s="114">
        <v>3</v>
      </c>
      <c r="O73" s="114">
        <v>1</v>
      </c>
      <c r="P73" s="114">
        <v>1</v>
      </c>
      <c r="Q73" s="114">
        <v>3</v>
      </c>
      <c r="R73" s="395" t="s">
        <v>1201</v>
      </c>
      <c r="S73" s="7"/>
      <c r="T73" s="4"/>
    </row>
    <row r="74" spans="1:20" ht="43.5" outlineLevel="1">
      <c r="A74" s="4"/>
      <c r="B74" s="4"/>
      <c r="C74" s="7"/>
      <c r="D74" s="674"/>
      <c r="E74" s="16" t="s">
        <v>630</v>
      </c>
      <c r="F74" s="16" t="s">
        <v>170</v>
      </c>
      <c r="G74" s="114">
        <v>4</v>
      </c>
      <c r="H74" s="114">
        <v>4</v>
      </c>
      <c r="I74" s="114">
        <v>3</v>
      </c>
      <c r="J74" s="114">
        <v>3</v>
      </c>
      <c r="K74" s="114">
        <v>3</v>
      </c>
      <c r="L74" s="114">
        <v>3</v>
      </c>
      <c r="M74" s="114">
        <v>3</v>
      </c>
      <c r="N74" s="114">
        <v>3</v>
      </c>
      <c r="O74" s="114">
        <v>1</v>
      </c>
      <c r="P74" s="114">
        <v>1</v>
      </c>
      <c r="Q74" s="114">
        <v>3</v>
      </c>
      <c r="R74" s="395" t="s">
        <v>1202</v>
      </c>
      <c r="S74" s="7"/>
      <c r="T74" s="4"/>
    </row>
    <row r="75" spans="1:20" outlineLevel="1">
      <c r="A75" s="4"/>
      <c r="B75" s="4"/>
      <c r="C75" s="7"/>
      <c r="D75" s="674"/>
      <c r="E75" s="16" t="s">
        <v>632</v>
      </c>
      <c r="F75" s="16" t="s">
        <v>176</v>
      </c>
      <c r="G75" s="114">
        <v>1</v>
      </c>
      <c r="H75" s="114">
        <v>1</v>
      </c>
      <c r="I75" s="114">
        <v>3</v>
      </c>
      <c r="J75" s="114">
        <v>3</v>
      </c>
      <c r="K75" s="114">
        <v>3</v>
      </c>
      <c r="L75" s="114">
        <v>3</v>
      </c>
      <c r="M75" s="114">
        <v>3</v>
      </c>
      <c r="N75" s="114">
        <v>3</v>
      </c>
      <c r="O75" s="114">
        <v>1</v>
      </c>
      <c r="P75" s="114">
        <v>1</v>
      </c>
      <c r="Q75" s="114">
        <v>3</v>
      </c>
      <c r="R75" s="395" t="s">
        <v>1203</v>
      </c>
      <c r="S75" s="7"/>
      <c r="T75" s="4"/>
    </row>
    <row r="76" spans="1:20" ht="57.95" outlineLevel="1">
      <c r="A76" s="4"/>
      <c r="B76" s="4"/>
      <c r="C76" s="7"/>
      <c r="D76" s="674"/>
      <c r="E76" s="16" t="s">
        <v>632</v>
      </c>
      <c r="F76" s="16" t="s">
        <v>1204</v>
      </c>
      <c r="G76" s="113">
        <v>0</v>
      </c>
      <c r="H76" s="113">
        <v>0</v>
      </c>
      <c r="I76" s="113">
        <v>9</v>
      </c>
      <c r="J76" s="113">
        <v>9</v>
      </c>
      <c r="K76" s="113">
        <v>9</v>
      </c>
      <c r="L76" s="113">
        <v>9</v>
      </c>
      <c r="M76" s="113">
        <v>9</v>
      </c>
      <c r="N76" s="113">
        <v>9</v>
      </c>
      <c r="O76" s="113">
        <v>3</v>
      </c>
      <c r="P76" s="113">
        <v>3</v>
      </c>
      <c r="Q76" s="113"/>
      <c r="R76" s="395" t="s">
        <v>1205</v>
      </c>
      <c r="S76" s="7"/>
      <c r="T76" s="4"/>
    </row>
    <row r="77" spans="1:20" outlineLevel="1">
      <c r="A77" s="4"/>
      <c r="B77" s="4"/>
      <c r="C77" s="7"/>
      <c r="D77" s="674"/>
      <c r="E77" s="16" t="s">
        <v>634</v>
      </c>
      <c r="F77" s="16" t="s">
        <v>173</v>
      </c>
      <c r="G77" s="114">
        <v>1</v>
      </c>
      <c r="H77" s="114">
        <v>1</v>
      </c>
      <c r="I77" s="114">
        <v>3</v>
      </c>
      <c r="J77" s="114">
        <v>3</v>
      </c>
      <c r="K77" s="114">
        <v>3</v>
      </c>
      <c r="L77" s="114">
        <v>3</v>
      </c>
      <c r="M77" s="114">
        <v>3</v>
      </c>
      <c r="N77" s="114">
        <v>3</v>
      </c>
      <c r="O77" s="114">
        <v>1</v>
      </c>
      <c r="P77" s="114">
        <v>1</v>
      </c>
      <c r="Q77" s="114">
        <v>3</v>
      </c>
      <c r="R77" s="395" t="s">
        <v>1206</v>
      </c>
      <c r="S77" s="7"/>
      <c r="T77" s="4"/>
    </row>
    <row r="78" spans="1:20" ht="57.95" outlineLevel="1">
      <c r="A78" s="4"/>
      <c r="B78" s="4"/>
      <c r="C78" s="7"/>
      <c r="D78" s="674"/>
      <c r="E78" s="16" t="s">
        <v>634</v>
      </c>
      <c r="F78" s="16" t="s">
        <v>1207</v>
      </c>
      <c r="G78" s="113">
        <v>0</v>
      </c>
      <c r="H78" s="113">
        <v>0</v>
      </c>
      <c r="I78" s="113">
        <v>1</v>
      </c>
      <c r="J78" s="113">
        <v>1</v>
      </c>
      <c r="K78" s="113">
        <v>1</v>
      </c>
      <c r="L78" s="113">
        <v>1.5</v>
      </c>
      <c r="M78" s="113">
        <v>1</v>
      </c>
      <c r="N78" s="113">
        <v>1</v>
      </c>
      <c r="O78" s="113">
        <v>3</v>
      </c>
      <c r="P78" s="113">
        <v>3</v>
      </c>
      <c r="Q78" s="113"/>
      <c r="R78" s="395" t="s">
        <v>1208</v>
      </c>
      <c r="S78" s="7"/>
      <c r="T78" s="4"/>
    </row>
    <row r="79" spans="1:20" outlineLevel="1">
      <c r="A79" s="4"/>
      <c r="B79" s="4"/>
      <c r="C79" s="7"/>
      <c r="D79" s="674"/>
      <c r="E79" s="16"/>
      <c r="F79" s="16" t="s">
        <v>1209</v>
      </c>
      <c r="G79" s="16" t="s">
        <v>1210</v>
      </c>
      <c r="H79" s="16" t="s">
        <v>1210</v>
      </c>
      <c r="I79" s="16" t="s">
        <v>1211</v>
      </c>
      <c r="J79" s="16" t="s">
        <v>1211</v>
      </c>
      <c r="K79" s="16" t="s">
        <v>1211</v>
      </c>
      <c r="L79" s="16" t="s">
        <v>1211</v>
      </c>
      <c r="M79" s="16" t="s">
        <v>1211</v>
      </c>
      <c r="N79" s="16" t="s">
        <v>1211</v>
      </c>
      <c r="O79" s="16" t="s">
        <v>1127</v>
      </c>
      <c r="P79" s="16" t="s">
        <v>1127</v>
      </c>
      <c r="Q79" s="114"/>
      <c r="R79" s="395"/>
      <c r="S79" s="7"/>
      <c r="T79" s="4"/>
    </row>
    <row r="80" spans="1:20" ht="43.5" outlineLevel="1">
      <c r="A80" s="4"/>
      <c r="B80" s="4"/>
      <c r="C80" s="7"/>
      <c r="D80" s="674"/>
      <c r="E80" s="16"/>
      <c r="F80" s="16" t="s">
        <v>1212</v>
      </c>
      <c r="G80" s="16" t="s">
        <v>1182</v>
      </c>
      <c r="H80" s="16" t="s">
        <v>1182</v>
      </c>
      <c r="I80" s="18" t="s">
        <v>1213</v>
      </c>
      <c r="J80" s="18" t="s">
        <v>1213</v>
      </c>
      <c r="K80" s="18" t="s">
        <v>1213</v>
      </c>
      <c r="L80" s="18" t="s">
        <v>1213</v>
      </c>
      <c r="M80" s="18" t="s">
        <v>1213</v>
      </c>
      <c r="N80" s="18" t="s">
        <v>1213</v>
      </c>
      <c r="O80" s="16" t="s">
        <v>1182</v>
      </c>
      <c r="P80" s="16" t="s">
        <v>1182</v>
      </c>
      <c r="Q80" s="114"/>
      <c r="R80" s="395"/>
      <c r="S80" s="7"/>
      <c r="T80" s="4"/>
    </row>
    <row r="81" spans="1:20" ht="27.6" customHeight="1" outlineLevel="1">
      <c r="A81" s="4"/>
      <c r="B81" s="4"/>
      <c r="C81" s="7"/>
      <c r="D81" s="674"/>
      <c r="E81" s="16"/>
      <c r="F81" s="16" t="s">
        <v>1214</v>
      </c>
      <c r="G81" s="116" t="s">
        <v>1215</v>
      </c>
      <c r="H81" s="116" t="s">
        <v>1215</v>
      </c>
      <c r="I81" s="116" t="s">
        <v>431</v>
      </c>
      <c r="J81" s="116" t="s">
        <v>431</v>
      </c>
      <c r="K81" s="116" t="s">
        <v>431</v>
      </c>
      <c r="L81" s="116" t="s">
        <v>1216</v>
      </c>
      <c r="M81" s="116" t="s">
        <v>431</v>
      </c>
      <c r="N81" s="116" t="s">
        <v>431</v>
      </c>
      <c r="O81" s="116" t="s">
        <v>1182</v>
      </c>
      <c r="P81" s="116" t="s">
        <v>1182</v>
      </c>
      <c r="Q81" s="114"/>
      <c r="R81" s="395"/>
      <c r="S81" s="7"/>
      <c r="T81" s="4"/>
    </row>
    <row r="82" spans="1:20" ht="16.5" outlineLevel="1">
      <c r="A82" s="4"/>
      <c r="B82" s="4"/>
      <c r="C82" s="7"/>
      <c r="D82" s="674"/>
      <c r="E82" s="16"/>
      <c r="F82" s="16" t="s">
        <v>1217</v>
      </c>
      <c r="G82" s="116" t="s">
        <v>1215</v>
      </c>
      <c r="H82" s="116" t="s">
        <v>1215</v>
      </c>
      <c r="I82" s="116" t="s">
        <v>1218</v>
      </c>
      <c r="J82" s="116" t="s">
        <v>1219</v>
      </c>
      <c r="K82" s="116" t="s">
        <v>1218</v>
      </c>
      <c r="L82" s="116" t="s">
        <v>1218</v>
      </c>
      <c r="M82" s="116" t="s">
        <v>1219</v>
      </c>
      <c r="N82" s="116" t="s">
        <v>1219</v>
      </c>
      <c r="O82" s="116" t="s">
        <v>1182</v>
      </c>
      <c r="P82" s="116" t="s">
        <v>1182</v>
      </c>
      <c r="Q82" s="114"/>
      <c r="R82" s="395"/>
      <c r="S82" s="7"/>
      <c r="T82" s="4"/>
    </row>
    <row r="83" spans="1:20" outlineLevel="1">
      <c r="A83" s="4"/>
      <c r="B83" s="4"/>
      <c r="C83" s="7"/>
      <c r="D83" s="674"/>
      <c r="E83" s="16"/>
      <c r="F83" s="16" t="s">
        <v>1220</v>
      </c>
      <c r="G83" s="114">
        <v>4</v>
      </c>
      <c r="H83" s="114">
        <v>4</v>
      </c>
      <c r="I83" s="114">
        <v>1</v>
      </c>
      <c r="J83" s="114">
        <v>1</v>
      </c>
      <c r="K83" s="114">
        <v>1</v>
      </c>
      <c r="L83" s="114">
        <v>1</v>
      </c>
      <c r="M83" s="114">
        <v>1</v>
      </c>
      <c r="N83" s="114">
        <v>1</v>
      </c>
      <c r="O83" s="114">
        <v>4</v>
      </c>
      <c r="P83" s="114">
        <v>4</v>
      </c>
      <c r="Q83" s="114">
        <v>1</v>
      </c>
      <c r="R83" s="395" t="s">
        <v>1221</v>
      </c>
      <c r="S83" s="7"/>
      <c r="T83" s="4"/>
    </row>
    <row r="84" spans="1:20" ht="43.5" outlineLevel="1">
      <c r="A84" s="4"/>
      <c r="B84" s="4"/>
      <c r="C84" s="7"/>
      <c r="D84" s="674"/>
      <c r="E84" s="16"/>
      <c r="F84" s="16" t="s">
        <v>1222</v>
      </c>
      <c r="G84" s="18" t="s">
        <v>1182</v>
      </c>
      <c r="H84" s="18" t="s">
        <v>1182</v>
      </c>
      <c r="I84" s="18" t="s">
        <v>1223</v>
      </c>
      <c r="J84" s="18" t="s">
        <v>1224</v>
      </c>
      <c r="K84" s="18" t="s">
        <v>1225</v>
      </c>
      <c r="L84" s="18" t="s">
        <v>1226</v>
      </c>
      <c r="M84" s="18" t="s">
        <v>1227</v>
      </c>
      <c r="N84" s="18" t="s">
        <v>1228</v>
      </c>
      <c r="O84" s="18" t="s">
        <v>1182</v>
      </c>
      <c r="P84" s="18" t="s">
        <v>1182</v>
      </c>
      <c r="Q84" s="314"/>
      <c r="R84" s="395"/>
      <c r="S84" s="7"/>
      <c r="T84" s="4"/>
    </row>
    <row r="85" spans="1:20" ht="29.1" outlineLevel="1">
      <c r="A85" s="4"/>
      <c r="B85" s="4"/>
      <c r="C85" s="7"/>
      <c r="D85" s="674"/>
      <c r="E85" s="16"/>
      <c r="F85" s="16" t="s">
        <v>1229</v>
      </c>
      <c r="G85" s="114">
        <v>4</v>
      </c>
      <c r="H85" s="114">
        <v>4</v>
      </c>
      <c r="I85" s="114">
        <v>3</v>
      </c>
      <c r="J85" s="114">
        <v>3</v>
      </c>
      <c r="K85" s="114">
        <v>3</v>
      </c>
      <c r="L85" s="114">
        <v>3</v>
      </c>
      <c r="M85" s="114">
        <v>3</v>
      </c>
      <c r="N85" s="114">
        <v>3</v>
      </c>
      <c r="O85" s="114">
        <v>4</v>
      </c>
      <c r="P85" s="114">
        <v>4</v>
      </c>
      <c r="Q85" s="114">
        <v>3</v>
      </c>
      <c r="R85" s="395" t="s">
        <v>1230</v>
      </c>
      <c r="S85" s="7"/>
      <c r="T85" s="4"/>
    </row>
    <row r="86" spans="1:20" outlineLevel="1">
      <c r="A86" s="4"/>
      <c r="B86" s="4"/>
      <c r="C86" s="7"/>
      <c r="D86" s="674"/>
      <c r="E86" s="16"/>
      <c r="F86" s="16" t="s">
        <v>1231</v>
      </c>
      <c r="G86" s="16" t="s">
        <v>428</v>
      </c>
      <c r="H86" s="16" t="s">
        <v>428</v>
      </c>
      <c r="I86" s="16" t="s">
        <v>428</v>
      </c>
      <c r="J86" s="16" t="s">
        <v>428</v>
      </c>
      <c r="K86" s="16" t="s">
        <v>428</v>
      </c>
      <c r="L86" s="16" t="s">
        <v>428</v>
      </c>
      <c r="M86" s="16" t="s">
        <v>428</v>
      </c>
      <c r="N86" s="16" t="s">
        <v>428</v>
      </c>
      <c r="O86" s="18" t="s">
        <v>1182</v>
      </c>
      <c r="P86" s="18" t="s">
        <v>1182</v>
      </c>
      <c r="Q86" s="114"/>
      <c r="R86" s="395"/>
      <c r="S86" s="7"/>
      <c r="T86" s="4"/>
    </row>
    <row r="87" spans="1:20" ht="43.5" outlineLevel="1">
      <c r="A87" s="4"/>
      <c r="B87" s="4"/>
      <c r="C87" s="7"/>
      <c r="D87" s="674"/>
      <c r="E87" s="16"/>
      <c r="F87" s="16" t="s">
        <v>1232</v>
      </c>
      <c r="G87" s="111" t="s">
        <v>1233</v>
      </c>
      <c r="H87" s="109" t="s">
        <v>1234</v>
      </c>
      <c r="I87" s="109" t="s">
        <v>1235</v>
      </c>
      <c r="J87" s="109" t="s">
        <v>1236</v>
      </c>
      <c r="K87" s="109" t="s">
        <v>1237</v>
      </c>
      <c r="L87" s="109" t="s">
        <v>1238</v>
      </c>
      <c r="M87" s="109" t="s">
        <v>1239</v>
      </c>
      <c r="N87" s="109" t="s">
        <v>1240</v>
      </c>
      <c r="O87" s="18" t="s">
        <v>1182</v>
      </c>
      <c r="P87" s="18" t="s">
        <v>1182</v>
      </c>
      <c r="Q87" s="114"/>
      <c r="R87" s="395" t="s">
        <v>1241</v>
      </c>
      <c r="S87" s="7"/>
      <c r="T87" s="4"/>
    </row>
    <row r="88" spans="1:20" outlineLevel="1">
      <c r="A88" s="4"/>
      <c r="B88" s="4"/>
      <c r="C88" s="7"/>
      <c r="D88" s="674"/>
      <c r="E88" s="16" t="s">
        <v>638</v>
      </c>
      <c r="F88" s="16" t="s">
        <v>356</v>
      </c>
      <c r="G88" s="114">
        <v>1</v>
      </c>
      <c r="H88" s="114">
        <v>1</v>
      </c>
      <c r="I88" s="114">
        <v>1</v>
      </c>
      <c r="J88" s="114">
        <v>1</v>
      </c>
      <c r="K88" s="114">
        <v>1</v>
      </c>
      <c r="L88" s="114">
        <v>1</v>
      </c>
      <c r="M88" s="114">
        <v>1</v>
      </c>
      <c r="N88" s="114">
        <v>1</v>
      </c>
      <c r="O88" s="114">
        <v>1</v>
      </c>
      <c r="P88" s="114">
        <v>1</v>
      </c>
      <c r="Q88" s="114">
        <v>1</v>
      </c>
      <c r="R88" s="395" t="s">
        <v>1242</v>
      </c>
      <c r="S88" s="7"/>
      <c r="T88" s="4"/>
    </row>
    <row r="89" spans="1:20" ht="43.5" outlineLevel="1">
      <c r="A89" s="4"/>
      <c r="B89" s="4"/>
      <c r="C89" s="7"/>
      <c r="D89" s="674"/>
      <c r="E89" s="16" t="s">
        <v>640</v>
      </c>
      <c r="F89" s="16" t="s">
        <v>1243</v>
      </c>
      <c r="G89" s="114">
        <v>3</v>
      </c>
      <c r="H89" s="114">
        <v>3</v>
      </c>
      <c r="I89" s="114">
        <v>3</v>
      </c>
      <c r="J89" s="114">
        <v>3</v>
      </c>
      <c r="K89" s="114">
        <v>3</v>
      </c>
      <c r="L89" s="114">
        <v>3</v>
      </c>
      <c r="M89" s="114">
        <v>3</v>
      </c>
      <c r="N89" s="114">
        <v>3</v>
      </c>
      <c r="O89" s="114">
        <v>3</v>
      </c>
      <c r="P89" s="114">
        <v>3</v>
      </c>
      <c r="Q89" s="114">
        <v>3</v>
      </c>
      <c r="R89" s="395" t="s">
        <v>1244</v>
      </c>
      <c r="S89" s="7"/>
      <c r="T89" s="4"/>
    </row>
    <row r="90" spans="1:20" ht="72.599999999999994" outlineLevel="1">
      <c r="A90" s="4"/>
      <c r="B90" s="4"/>
      <c r="C90" s="7"/>
      <c r="D90" s="674"/>
      <c r="E90" s="16" t="s">
        <v>618</v>
      </c>
      <c r="F90" s="16" t="s">
        <v>140</v>
      </c>
      <c r="G90" s="114">
        <v>1</v>
      </c>
      <c r="H90" s="114">
        <v>1</v>
      </c>
      <c r="I90" s="114">
        <v>1</v>
      </c>
      <c r="J90" s="114">
        <v>1</v>
      </c>
      <c r="K90" s="114">
        <v>1</v>
      </c>
      <c r="L90" s="114">
        <v>1</v>
      </c>
      <c r="M90" s="114">
        <v>1</v>
      </c>
      <c r="N90" s="114">
        <v>1</v>
      </c>
      <c r="O90" s="114">
        <v>1</v>
      </c>
      <c r="P90" s="114">
        <v>1</v>
      </c>
      <c r="Q90" s="114">
        <v>1</v>
      </c>
      <c r="R90" s="395" t="s">
        <v>1245</v>
      </c>
      <c r="S90" s="7"/>
      <c r="T90" s="4"/>
    </row>
    <row r="91" spans="1:20" ht="29.1" outlineLevel="1">
      <c r="A91" s="4"/>
      <c r="B91" s="4"/>
      <c r="C91" s="7"/>
      <c r="D91" s="674"/>
      <c r="E91" s="16" t="s">
        <v>646</v>
      </c>
      <c r="F91" s="16" t="s">
        <v>1246</v>
      </c>
      <c r="G91" s="114">
        <v>3</v>
      </c>
      <c r="H91" s="114">
        <v>3</v>
      </c>
      <c r="I91" s="114">
        <v>3</v>
      </c>
      <c r="J91" s="114">
        <v>3</v>
      </c>
      <c r="K91" s="114">
        <v>3</v>
      </c>
      <c r="L91" s="114">
        <v>3</v>
      </c>
      <c r="M91" s="114">
        <v>3</v>
      </c>
      <c r="N91" s="114">
        <v>3</v>
      </c>
      <c r="O91" s="114">
        <v>3</v>
      </c>
      <c r="P91" s="114">
        <v>3</v>
      </c>
      <c r="Q91" s="114">
        <v>3</v>
      </c>
      <c r="R91" s="395" t="s">
        <v>1247</v>
      </c>
      <c r="S91" s="7"/>
      <c r="T91" s="4"/>
    </row>
    <row r="92" spans="1:20" ht="43.5" outlineLevel="1">
      <c r="A92" s="4"/>
      <c r="B92" s="4"/>
      <c r="C92" s="7"/>
      <c r="D92" s="674"/>
      <c r="E92" s="16" t="s">
        <v>620</v>
      </c>
      <c r="F92" s="16" t="s">
        <v>358</v>
      </c>
      <c r="G92" s="114">
        <v>3</v>
      </c>
      <c r="H92" s="114">
        <v>3</v>
      </c>
      <c r="I92" s="114">
        <v>3</v>
      </c>
      <c r="J92" s="114">
        <v>3</v>
      </c>
      <c r="K92" s="114">
        <v>3</v>
      </c>
      <c r="L92" s="114">
        <v>3</v>
      </c>
      <c r="M92" s="114">
        <v>3</v>
      </c>
      <c r="N92" s="114">
        <v>3</v>
      </c>
      <c r="O92" s="114">
        <v>4</v>
      </c>
      <c r="P92" s="114">
        <v>4</v>
      </c>
      <c r="Q92" s="114">
        <v>3</v>
      </c>
      <c r="R92" s="395" t="s">
        <v>1248</v>
      </c>
      <c r="S92" s="7"/>
      <c r="T92" s="4"/>
    </row>
    <row r="93" spans="1:20" ht="330.6" customHeight="1" outlineLevel="1">
      <c r="A93" s="4"/>
      <c r="B93" s="4"/>
      <c r="C93" s="7"/>
      <c r="D93" s="674"/>
      <c r="E93" s="16" t="s">
        <v>620</v>
      </c>
      <c r="F93" s="16" t="s">
        <v>1249</v>
      </c>
      <c r="G93" s="18" t="s">
        <v>1250</v>
      </c>
      <c r="H93" s="18" t="s">
        <v>1251</v>
      </c>
      <c r="I93" s="18" t="s">
        <v>1252</v>
      </c>
      <c r="J93" s="18" t="s">
        <v>1253</v>
      </c>
      <c r="K93" s="18" t="s">
        <v>1254</v>
      </c>
      <c r="L93" s="18" t="s">
        <v>1255</v>
      </c>
      <c r="M93" s="18" t="s">
        <v>1256</v>
      </c>
      <c r="N93" s="18" t="s">
        <v>1257</v>
      </c>
      <c r="O93" s="18" t="s">
        <v>1258</v>
      </c>
      <c r="P93" s="18" t="s">
        <v>1258</v>
      </c>
      <c r="Q93" s="114"/>
      <c r="R93" s="395"/>
      <c r="S93" s="7"/>
      <c r="T93" s="4"/>
    </row>
    <row r="94" spans="1:20" ht="43.5" outlineLevel="1">
      <c r="A94" s="4"/>
      <c r="B94" s="4"/>
      <c r="C94" s="7"/>
      <c r="D94" s="674"/>
      <c r="E94" s="16" t="s">
        <v>615</v>
      </c>
      <c r="F94" s="16" t="s">
        <v>258</v>
      </c>
      <c r="G94" s="114">
        <v>3</v>
      </c>
      <c r="H94" s="114">
        <v>3</v>
      </c>
      <c r="I94" s="114">
        <v>3</v>
      </c>
      <c r="J94" s="114">
        <v>3</v>
      </c>
      <c r="K94" s="114">
        <v>3</v>
      </c>
      <c r="L94" s="114">
        <v>3</v>
      </c>
      <c r="M94" s="114">
        <v>3</v>
      </c>
      <c r="N94" s="114">
        <v>3</v>
      </c>
      <c r="O94" s="114">
        <v>3</v>
      </c>
      <c r="P94" s="114">
        <v>3</v>
      </c>
      <c r="Q94" s="114">
        <v>3</v>
      </c>
      <c r="R94" s="395" t="s">
        <v>1259</v>
      </c>
      <c r="S94" s="7"/>
      <c r="T94" s="4"/>
    </row>
    <row r="95" spans="1:20" ht="29.1" outlineLevel="1">
      <c r="A95" s="4"/>
      <c r="B95" s="4"/>
      <c r="C95" s="7"/>
      <c r="D95" s="674"/>
      <c r="E95" s="16" t="s">
        <v>624</v>
      </c>
      <c r="F95" s="16" t="s">
        <v>360</v>
      </c>
      <c r="G95" s="114">
        <v>3</v>
      </c>
      <c r="H95" s="114">
        <v>3</v>
      </c>
      <c r="I95" s="114">
        <v>3</v>
      </c>
      <c r="J95" s="114">
        <v>3</v>
      </c>
      <c r="K95" s="114">
        <v>3</v>
      </c>
      <c r="L95" s="114">
        <v>3</v>
      </c>
      <c r="M95" s="114">
        <v>3</v>
      </c>
      <c r="N95" s="114">
        <v>3</v>
      </c>
      <c r="O95" s="114">
        <v>3</v>
      </c>
      <c r="P95" s="114">
        <v>3</v>
      </c>
      <c r="Q95" s="114">
        <v>3</v>
      </c>
      <c r="R95" s="395" t="s">
        <v>1260</v>
      </c>
      <c r="S95" s="7"/>
      <c r="T95" s="4"/>
    </row>
    <row r="96" spans="1:20" ht="29.1" outlineLevel="1">
      <c r="A96" s="4"/>
      <c r="B96" s="4"/>
      <c r="C96" s="7"/>
      <c r="D96" s="674"/>
      <c r="E96" s="16" t="s">
        <v>642</v>
      </c>
      <c r="F96" s="16" t="s">
        <v>73</v>
      </c>
      <c r="G96" s="114">
        <v>3</v>
      </c>
      <c r="H96" s="114">
        <v>3</v>
      </c>
      <c r="I96" s="114">
        <v>3</v>
      </c>
      <c r="J96" s="114">
        <v>3</v>
      </c>
      <c r="K96" s="114">
        <v>3</v>
      </c>
      <c r="L96" s="114">
        <v>3</v>
      </c>
      <c r="M96" s="114">
        <v>3</v>
      </c>
      <c r="N96" s="114">
        <v>3</v>
      </c>
      <c r="O96" s="114">
        <v>3</v>
      </c>
      <c r="P96" s="114">
        <v>3</v>
      </c>
      <c r="Q96" s="114">
        <v>3</v>
      </c>
      <c r="R96" s="395" t="s">
        <v>1261</v>
      </c>
      <c r="S96" s="7"/>
      <c r="T96" s="4"/>
    </row>
    <row r="97" spans="1:20" outlineLevel="1">
      <c r="A97" s="4"/>
      <c r="B97" s="4"/>
      <c r="C97" s="7"/>
      <c r="D97" s="675"/>
      <c r="E97" s="486" t="s">
        <v>1262</v>
      </c>
      <c r="F97" s="470"/>
      <c r="G97" s="119"/>
      <c r="H97" s="119"/>
      <c r="I97" s="119"/>
      <c r="J97" s="119"/>
      <c r="K97" s="119"/>
      <c r="L97" s="119"/>
      <c r="M97" s="119"/>
      <c r="N97" s="119"/>
      <c r="O97" s="119"/>
      <c r="P97" s="119"/>
      <c r="Q97" s="119"/>
      <c r="R97" s="473"/>
      <c r="S97" s="7"/>
      <c r="T97" s="4"/>
    </row>
    <row r="98" spans="1:20" ht="14.45" customHeight="1" outlineLevel="1">
      <c r="A98" s="4"/>
      <c r="B98" s="4"/>
      <c r="C98" s="7"/>
      <c r="D98" s="673" t="s">
        <v>119</v>
      </c>
      <c r="E98" s="316" t="s">
        <v>636</v>
      </c>
      <c r="F98" s="316" t="s">
        <v>1263</v>
      </c>
      <c r="G98" s="317">
        <v>4</v>
      </c>
      <c r="H98" s="317">
        <v>4</v>
      </c>
      <c r="I98" s="317">
        <v>4</v>
      </c>
      <c r="J98" s="317">
        <v>4</v>
      </c>
      <c r="K98" s="317">
        <v>4</v>
      </c>
      <c r="L98" s="317">
        <v>4</v>
      </c>
      <c r="M98" s="317">
        <v>4</v>
      </c>
      <c r="N98" s="317">
        <v>4</v>
      </c>
      <c r="O98" s="317">
        <v>4</v>
      </c>
      <c r="P98" s="317">
        <v>4</v>
      </c>
      <c r="Q98" s="317">
        <v>4</v>
      </c>
      <c r="R98" s="396" t="s">
        <v>1264</v>
      </c>
      <c r="S98" s="7"/>
      <c r="T98" s="4"/>
    </row>
    <row r="99" spans="1:20" outlineLevel="1">
      <c r="A99" s="4"/>
      <c r="B99" s="4"/>
      <c r="C99" s="7"/>
      <c r="D99" s="674"/>
      <c r="E99" s="16" t="s">
        <v>660</v>
      </c>
      <c r="F99" s="16" t="s">
        <v>1265</v>
      </c>
      <c r="G99" s="114">
        <v>4</v>
      </c>
      <c r="H99" s="114">
        <v>4</v>
      </c>
      <c r="I99" s="114">
        <v>4</v>
      </c>
      <c r="J99" s="114">
        <v>4</v>
      </c>
      <c r="K99" s="114">
        <v>4</v>
      </c>
      <c r="L99" s="114">
        <v>4</v>
      </c>
      <c r="M99" s="114">
        <v>4</v>
      </c>
      <c r="N99" s="114">
        <v>4</v>
      </c>
      <c r="O99" s="114">
        <v>4</v>
      </c>
      <c r="P99" s="114">
        <v>4</v>
      </c>
      <c r="Q99" s="114">
        <v>4</v>
      </c>
      <c r="R99" s="395" t="s">
        <v>1264</v>
      </c>
      <c r="S99" s="7"/>
      <c r="T99" s="4"/>
    </row>
    <row r="100" spans="1:20" ht="29.1" outlineLevel="1">
      <c r="A100" s="4"/>
      <c r="B100" s="4"/>
      <c r="C100" s="7"/>
      <c r="D100" s="674"/>
      <c r="E100" s="16" t="s">
        <v>662</v>
      </c>
      <c r="F100" s="16" t="s">
        <v>1266</v>
      </c>
      <c r="G100" s="114">
        <v>4</v>
      </c>
      <c r="H100" s="114">
        <v>4</v>
      </c>
      <c r="I100" s="114">
        <v>1</v>
      </c>
      <c r="J100" s="114">
        <v>1</v>
      </c>
      <c r="K100" s="114">
        <v>1</v>
      </c>
      <c r="L100" s="114">
        <v>1</v>
      </c>
      <c r="M100" s="114">
        <v>1</v>
      </c>
      <c r="N100" s="114">
        <v>1</v>
      </c>
      <c r="O100" s="114">
        <v>4</v>
      </c>
      <c r="P100" s="114">
        <v>4</v>
      </c>
      <c r="Q100" s="114">
        <v>4</v>
      </c>
      <c r="R100" s="395" t="s">
        <v>1267</v>
      </c>
      <c r="S100" s="7"/>
      <c r="T100" s="4"/>
    </row>
    <row r="101" spans="1:20" ht="29.1" outlineLevel="1">
      <c r="A101" s="4"/>
      <c r="B101" s="4"/>
      <c r="C101" s="7"/>
      <c r="D101" s="674"/>
      <c r="E101" s="16" t="s">
        <v>664</v>
      </c>
      <c r="F101" s="16" t="s">
        <v>1268</v>
      </c>
      <c r="G101" s="114">
        <v>4</v>
      </c>
      <c r="H101" s="114">
        <v>4</v>
      </c>
      <c r="I101" s="114">
        <v>3</v>
      </c>
      <c r="J101" s="114">
        <v>1</v>
      </c>
      <c r="K101" s="114">
        <v>3</v>
      </c>
      <c r="L101" s="114">
        <v>3</v>
      </c>
      <c r="M101" s="114">
        <v>3</v>
      </c>
      <c r="N101" s="114">
        <v>1</v>
      </c>
      <c r="O101" s="114">
        <v>1</v>
      </c>
      <c r="P101" s="114">
        <v>1</v>
      </c>
      <c r="Q101" s="114">
        <v>3</v>
      </c>
      <c r="R101" s="395" t="s">
        <v>1269</v>
      </c>
      <c r="S101" s="7"/>
      <c r="T101" s="4"/>
    </row>
    <row r="102" spans="1:20" outlineLevel="1">
      <c r="A102" s="4"/>
      <c r="B102" s="4"/>
      <c r="C102" s="7"/>
      <c r="D102" s="674"/>
      <c r="E102" s="16" t="s">
        <v>658</v>
      </c>
      <c r="F102" s="16" t="s">
        <v>1270</v>
      </c>
      <c r="G102" s="114">
        <v>4</v>
      </c>
      <c r="H102" s="114">
        <v>4</v>
      </c>
      <c r="I102" s="114">
        <v>1</v>
      </c>
      <c r="J102" s="114">
        <v>1</v>
      </c>
      <c r="K102" s="114">
        <v>1</v>
      </c>
      <c r="L102" s="114">
        <v>1</v>
      </c>
      <c r="M102" s="114">
        <v>1</v>
      </c>
      <c r="N102" s="114">
        <v>1</v>
      </c>
      <c r="O102" s="114">
        <v>1</v>
      </c>
      <c r="P102" s="114">
        <v>1</v>
      </c>
      <c r="Q102" s="114">
        <v>1</v>
      </c>
      <c r="R102" s="395" t="s">
        <v>1271</v>
      </c>
      <c r="S102" s="7"/>
      <c r="T102" s="4"/>
    </row>
    <row r="103" spans="1:20" ht="29.1" outlineLevel="1">
      <c r="A103" s="4"/>
      <c r="B103" s="4"/>
      <c r="C103" s="7"/>
      <c r="D103" s="674"/>
      <c r="E103" s="16" t="s">
        <v>666</v>
      </c>
      <c r="F103" s="16" t="s">
        <v>1272</v>
      </c>
      <c r="G103" s="114">
        <v>1</v>
      </c>
      <c r="H103" s="114">
        <v>1</v>
      </c>
      <c r="I103" s="114">
        <v>3</v>
      </c>
      <c r="J103" s="114">
        <v>1</v>
      </c>
      <c r="K103" s="114">
        <v>1</v>
      </c>
      <c r="L103" s="114">
        <v>1</v>
      </c>
      <c r="M103" s="114">
        <v>3</v>
      </c>
      <c r="N103" s="114">
        <v>1</v>
      </c>
      <c r="O103" s="114">
        <v>1</v>
      </c>
      <c r="P103" s="114">
        <v>1</v>
      </c>
      <c r="Q103" s="114">
        <v>3</v>
      </c>
      <c r="R103" s="395" t="s">
        <v>1273</v>
      </c>
      <c r="S103" s="7"/>
      <c r="T103" s="4"/>
    </row>
    <row r="104" spans="1:20" ht="29.1" outlineLevel="1">
      <c r="A104" s="4"/>
      <c r="B104" s="4"/>
      <c r="C104" s="7"/>
      <c r="D104" s="674"/>
      <c r="E104" s="16" t="s">
        <v>668</v>
      </c>
      <c r="F104" s="16" t="s">
        <v>1274</v>
      </c>
      <c r="G104" s="114">
        <v>4</v>
      </c>
      <c r="H104" s="114">
        <v>4</v>
      </c>
      <c r="I104" s="114">
        <v>3</v>
      </c>
      <c r="J104" s="114">
        <v>4</v>
      </c>
      <c r="K104" s="114">
        <v>4</v>
      </c>
      <c r="L104" s="114">
        <v>4</v>
      </c>
      <c r="M104" s="114">
        <v>3</v>
      </c>
      <c r="N104" s="114">
        <v>4</v>
      </c>
      <c r="O104" s="114">
        <v>4</v>
      </c>
      <c r="P104" s="114">
        <v>4</v>
      </c>
      <c r="Q104" s="114">
        <v>3</v>
      </c>
      <c r="R104" s="395" t="s">
        <v>1275</v>
      </c>
      <c r="S104" s="7"/>
      <c r="T104" s="4"/>
    </row>
    <row r="105" spans="1:20" outlineLevel="1">
      <c r="A105" s="4"/>
      <c r="B105" s="4"/>
      <c r="C105" s="7"/>
      <c r="D105" s="674"/>
      <c r="E105" s="16" t="s">
        <v>670</v>
      </c>
      <c r="F105" s="16" t="s">
        <v>1276</v>
      </c>
      <c r="G105" s="114">
        <v>4</v>
      </c>
      <c r="H105" s="114">
        <v>4</v>
      </c>
      <c r="I105" s="114">
        <v>4</v>
      </c>
      <c r="J105" s="114">
        <v>4</v>
      </c>
      <c r="K105" s="114">
        <v>4</v>
      </c>
      <c r="L105" s="114">
        <v>4</v>
      </c>
      <c r="M105" s="114">
        <v>4</v>
      </c>
      <c r="N105" s="114">
        <v>4</v>
      </c>
      <c r="O105" s="114">
        <v>4</v>
      </c>
      <c r="P105" s="114">
        <v>4</v>
      </c>
      <c r="Q105" s="114">
        <v>4</v>
      </c>
      <c r="R105" s="395" t="s">
        <v>1264</v>
      </c>
      <c r="S105" s="7"/>
      <c r="T105" s="4"/>
    </row>
    <row r="106" spans="1:20" outlineLevel="1">
      <c r="A106" s="4"/>
      <c r="B106" s="4"/>
      <c r="C106" s="7"/>
      <c r="D106" s="674"/>
      <c r="E106" s="16" t="s">
        <v>672</v>
      </c>
      <c r="F106" s="16" t="s">
        <v>1277</v>
      </c>
      <c r="G106" s="114">
        <v>4</v>
      </c>
      <c r="H106" s="114">
        <v>4</v>
      </c>
      <c r="I106" s="114">
        <v>4</v>
      </c>
      <c r="J106" s="114">
        <v>4</v>
      </c>
      <c r="K106" s="114">
        <v>4</v>
      </c>
      <c r="L106" s="114">
        <v>4</v>
      </c>
      <c r="M106" s="114">
        <v>4</v>
      </c>
      <c r="N106" s="114">
        <v>4</v>
      </c>
      <c r="O106" s="114">
        <v>4</v>
      </c>
      <c r="P106" s="114">
        <v>4</v>
      </c>
      <c r="Q106" s="114">
        <v>4</v>
      </c>
      <c r="R106" s="395" t="s">
        <v>1264</v>
      </c>
      <c r="S106" s="7"/>
      <c r="T106" s="4"/>
    </row>
    <row r="107" spans="1:20" ht="29.1" outlineLevel="1">
      <c r="A107" s="4"/>
      <c r="B107" s="4"/>
      <c r="C107" s="7"/>
      <c r="D107" s="674"/>
      <c r="E107" s="16" t="s">
        <v>674</v>
      </c>
      <c r="F107" s="16" t="s">
        <v>1278</v>
      </c>
      <c r="G107" s="114">
        <v>4</v>
      </c>
      <c r="H107" s="114">
        <v>4</v>
      </c>
      <c r="I107" s="114">
        <v>3</v>
      </c>
      <c r="J107" s="114">
        <v>4</v>
      </c>
      <c r="K107" s="114">
        <v>4</v>
      </c>
      <c r="L107" s="114">
        <v>4</v>
      </c>
      <c r="M107" s="114">
        <v>3</v>
      </c>
      <c r="N107" s="114">
        <v>4</v>
      </c>
      <c r="O107" s="114">
        <v>4</v>
      </c>
      <c r="P107" s="114">
        <v>4</v>
      </c>
      <c r="Q107" s="114">
        <v>3</v>
      </c>
      <c r="R107" s="395" t="s">
        <v>1273</v>
      </c>
      <c r="S107" s="7"/>
      <c r="T107" s="4"/>
    </row>
    <row r="108" spans="1:20" ht="29.1" outlineLevel="1">
      <c r="A108" s="4"/>
      <c r="B108" s="4"/>
      <c r="C108" s="7"/>
      <c r="D108" s="674"/>
      <c r="E108" s="16" t="s">
        <v>676</v>
      </c>
      <c r="F108" s="16" t="s">
        <v>1279</v>
      </c>
      <c r="G108" s="114">
        <v>4</v>
      </c>
      <c r="H108" s="114">
        <v>4</v>
      </c>
      <c r="I108" s="114">
        <v>3</v>
      </c>
      <c r="J108" s="114">
        <v>4</v>
      </c>
      <c r="K108" s="114">
        <v>4</v>
      </c>
      <c r="L108" s="114">
        <v>4</v>
      </c>
      <c r="M108" s="114">
        <v>3</v>
      </c>
      <c r="N108" s="114">
        <v>4</v>
      </c>
      <c r="O108" s="114">
        <v>4</v>
      </c>
      <c r="P108" s="114">
        <v>4</v>
      </c>
      <c r="Q108" s="114">
        <v>3</v>
      </c>
      <c r="R108" s="395" t="s">
        <v>1273</v>
      </c>
      <c r="S108" s="7"/>
      <c r="T108" s="4"/>
    </row>
    <row r="109" spans="1:20" outlineLevel="1">
      <c r="A109" s="4"/>
      <c r="B109" s="4"/>
      <c r="C109" s="7"/>
      <c r="D109" s="674"/>
      <c r="E109" s="16" t="s">
        <v>678</v>
      </c>
      <c r="F109" s="16" t="s">
        <v>1280</v>
      </c>
      <c r="G109" s="114">
        <v>4</v>
      </c>
      <c r="H109" s="114">
        <v>4</v>
      </c>
      <c r="I109" s="114">
        <v>4</v>
      </c>
      <c r="J109" s="114">
        <v>4</v>
      </c>
      <c r="K109" s="114">
        <v>4</v>
      </c>
      <c r="L109" s="114">
        <v>4</v>
      </c>
      <c r="M109" s="114">
        <v>4</v>
      </c>
      <c r="N109" s="114">
        <v>4</v>
      </c>
      <c r="O109" s="114">
        <v>4</v>
      </c>
      <c r="P109" s="114">
        <v>4</v>
      </c>
      <c r="Q109" s="114">
        <v>4</v>
      </c>
      <c r="R109" s="395" t="s">
        <v>1264</v>
      </c>
      <c r="S109" s="7"/>
      <c r="T109" s="4"/>
    </row>
    <row r="110" spans="1:20" outlineLevel="1">
      <c r="A110" s="4"/>
      <c r="B110" s="4"/>
      <c r="C110" s="7"/>
      <c r="D110" s="674"/>
      <c r="E110" s="16" t="s">
        <v>680</v>
      </c>
      <c r="F110" s="16" t="s">
        <v>1281</v>
      </c>
      <c r="G110" s="114">
        <v>4</v>
      </c>
      <c r="H110" s="114">
        <v>4</v>
      </c>
      <c r="I110" s="114">
        <v>4</v>
      </c>
      <c r="J110" s="114">
        <v>4</v>
      </c>
      <c r="K110" s="114">
        <v>4</v>
      </c>
      <c r="L110" s="114">
        <v>4</v>
      </c>
      <c r="M110" s="114">
        <v>4</v>
      </c>
      <c r="N110" s="114">
        <v>4</v>
      </c>
      <c r="O110" s="114">
        <v>4</v>
      </c>
      <c r="P110" s="114">
        <v>4</v>
      </c>
      <c r="Q110" s="114">
        <v>4</v>
      </c>
      <c r="R110" s="395" t="s">
        <v>1264</v>
      </c>
      <c r="S110" s="7"/>
      <c r="T110" s="4"/>
    </row>
    <row r="111" spans="1:20" outlineLevel="1">
      <c r="A111" s="4"/>
      <c r="B111" s="4"/>
      <c r="C111" s="7"/>
      <c r="D111" s="674"/>
      <c r="E111" s="16" t="s">
        <v>682</v>
      </c>
      <c r="F111" s="16" t="s">
        <v>1282</v>
      </c>
      <c r="G111" s="114">
        <v>4</v>
      </c>
      <c r="H111" s="114">
        <v>4</v>
      </c>
      <c r="I111" s="114">
        <v>4</v>
      </c>
      <c r="J111" s="114">
        <v>4</v>
      </c>
      <c r="K111" s="114">
        <v>4</v>
      </c>
      <c r="L111" s="114">
        <v>4</v>
      </c>
      <c r="M111" s="114">
        <v>4</v>
      </c>
      <c r="N111" s="114">
        <v>4</v>
      </c>
      <c r="O111" s="114">
        <v>4</v>
      </c>
      <c r="P111" s="114">
        <v>4</v>
      </c>
      <c r="Q111" s="114">
        <v>4</v>
      </c>
      <c r="R111" s="395" t="s">
        <v>1264</v>
      </c>
      <c r="S111" s="7"/>
      <c r="T111" s="4"/>
    </row>
    <row r="112" spans="1:20" outlineLevel="1">
      <c r="A112" s="4"/>
      <c r="B112" s="4"/>
      <c r="C112" s="7"/>
      <c r="D112" s="674"/>
      <c r="E112" s="16" t="s">
        <v>684</v>
      </c>
      <c r="F112" s="16" t="s">
        <v>1283</v>
      </c>
      <c r="G112" s="114">
        <v>4</v>
      </c>
      <c r="H112" s="114">
        <v>4</v>
      </c>
      <c r="I112" s="114">
        <v>4</v>
      </c>
      <c r="J112" s="114">
        <v>4</v>
      </c>
      <c r="K112" s="114">
        <v>4</v>
      </c>
      <c r="L112" s="114">
        <v>4</v>
      </c>
      <c r="M112" s="114">
        <v>4</v>
      </c>
      <c r="N112" s="114">
        <v>4</v>
      </c>
      <c r="O112" s="114">
        <v>4</v>
      </c>
      <c r="P112" s="114">
        <v>4</v>
      </c>
      <c r="Q112" s="114">
        <v>4</v>
      </c>
      <c r="R112" s="395" t="s">
        <v>1264</v>
      </c>
      <c r="S112" s="7"/>
      <c r="T112" s="4"/>
    </row>
    <row r="113" spans="1:20" outlineLevel="1">
      <c r="A113" s="4"/>
      <c r="B113" s="4"/>
      <c r="C113" s="7"/>
      <c r="D113" s="674"/>
      <c r="E113" s="16" t="s">
        <v>686</v>
      </c>
      <c r="F113" s="16" t="s">
        <v>1284</v>
      </c>
      <c r="G113" s="114">
        <v>4</v>
      </c>
      <c r="H113" s="114">
        <v>4</v>
      </c>
      <c r="I113" s="114">
        <v>4</v>
      </c>
      <c r="J113" s="114">
        <v>4</v>
      </c>
      <c r="K113" s="114">
        <v>4</v>
      </c>
      <c r="L113" s="114">
        <v>4</v>
      </c>
      <c r="M113" s="114">
        <v>4</v>
      </c>
      <c r="N113" s="114">
        <v>4</v>
      </c>
      <c r="O113" s="114">
        <v>4</v>
      </c>
      <c r="P113" s="114">
        <v>4</v>
      </c>
      <c r="Q113" s="114">
        <v>4</v>
      </c>
      <c r="R113" s="395" t="s">
        <v>1264</v>
      </c>
      <c r="S113" s="7"/>
      <c r="T113" s="4"/>
    </row>
    <row r="114" spans="1:20" outlineLevel="1">
      <c r="A114" s="4"/>
      <c r="B114" s="4"/>
      <c r="C114" s="7"/>
      <c r="D114" s="674"/>
      <c r="E114" s="16" t="s">
        <v>688</v>
      </c>
      <c r="F114" s="16" t="s">
        <v>1285</v>
      </c>
      <c r="G114" s="114">
        <v>4</v>
      </c>
      <c r="H114" s="114">
        <v>4</v>
      </c>
      <c r="I114" s="114">
        <v>4</v>
      </c>
      <c r="J114" s="114">
        <v>4</v>
      </c>
      <c r="K114" s="114">
        <v>4</v>
      </c>
      <c r="L114" s="114">
        <v>4</v>
      </c>
      <c r="M114" s="114">
        <v>4</v>
      </c>
      <c r="N114" s="114">
        <v>4</v>
      </c>
      <c r="O114" s="114">
        <v>4</v>
      </c>
      <c r="P114" s="114">
        <v>4</v>
      </c>
      <c r="Q114" s="114">
        <v>4</v>
      </c>
      <c r="R114" s="395" t="s">
        <v>1264</v>
      </c>
      <c r="S114" s="7"/>
      <c r="T114" s="4"/>
    </row>
    <row r="115" spans="1:20" outlineLevel="1">
      <c r="A115" s="4"/>
      <c r="B115" s="4"/>
      <c r="C115" s="7"/>
      <c r="D115" s="674"/>
      <c r="E115" s="16" t="s">
        <v>690</v>
      </c>
      <c r="F115" s="16" t="s">
        <v>386</v>
      </c>
      <c r="G115" s="114">
        <v>4</v>
      </c>
      <c r="H115" s="114">
        <v>4</v>
      </c>
      <c r="I115" s="114">
        <v>4</v>
      </c>
      <c r="J115" s="114">
        <v>4</v>
      </c>
      <c r="K115" s="114">
        <v>4</v>
      </c>
      <c r="L115" s="114">
        <v>4</v>
      </c>
      <c r="M115" s="114">
        <v>4</v>
      </c>
      <c r="N115" s="114">
        <v>4</v>
      </c>
      <c r="O115" s="114">
        <v>4</v>
      </c>
      <c r="P115" s="114">
        <v>4</v>
      </c>
      <c r="Q115" s="114">
        <v>4</v>
      </c>
      <c r="R115" s="395" t="s">
        <v>1264</v>
      </c>
      <c r="S115" s="7"/>
      <c r="T115" s="4"/>
    </row>
    <row r="116" spans="1:20" outlineLevel="1">
      <c r="A116" s="4"/>
      <c r="B116" s="4"/>
      <c r="C116" s="7"/>
      <c r="D116" s="674"/>
      <c r="E116" s="320" t="s">
        <v>648</v>
      </c>
      <c r="F116" s="320" t="s">
        <v>364</v>
      </c>
      <c r="G116" s="117">
        <v>4</v>
      </c>
      <c r="H116" s="117">
        <v>4</v>
      </c>
      <c r="I116" s="117">
        <v>1</v>
      </c>
      <c r="J116" s="117">
        <v>1</v>
      </c>
      <c r="K116" s="117">
        <v>1</v>
      </c>
      <c r="L116" s="117">
        <v>1</v>
      </c>
      <c r="M116" s="117">
        <v>1</v>
      </c>
      <c r="N116" s="117">
        <v>1</v>
      </c>
      <c r="O116" s="117">
        <v>1</v>
      </c>
      <c r="P116" s="117">
        <v>1</v>
      </c>
      <c r="Q116" s="117">
        <v>1</v>
      </c>
      <c r="R116" s="397" t="s">
        <v>1286</v>
      </c>
      <c r="S116" s="7"/>
      <c r="T116" s="4"/>
    </row>
    <row r="117" spans="1:20" outlineLevel="1">
      <c r="A117" s="4"/>
      <c r="B117" s="4"/>
      <c r="C117" s="7"/>
      <c r="D117" s="675"/>
      <c r="E117" s="486" t="s">
        <v>1262</v>
      </c>
      <c r="F117" s="470"/>
      <c r="G117" s="119"/>
      <c r="H117" s="119"/>
      <c r="I117" s="119"/>
      <c r="J117" s="119"/>
      <c r="K117" s="119"/>
      <c r="L117" s="119"/>
      <c r="M117" s="119"/>
      <c r="N117" s="119"/>
      <c r="O117" s="119"/>
      <c r="P117" s="119"/>
      <c r="Q117" s="119"/>
      <c r="R117" s="473"/>
      <c r="S117" s="7"/>
      <c r="T117" s="4"/>
    </row>
    <row r="118" spans="1:20" ht="14.45" customHeight="1" outlineLevel="1">
      <c r="A118" s="4"/>
      <c r="B118" s="4"/>
      <c r="C118" s="7"/>
      <c r="D118" s="673" t="s">
        <v>185</v>
      </c>
      <c r="E118" s="316" t="s">
        <v>706</v>
      </c>
      <c r="F118" s="316" t="s">
        <v>1287</v>
      </c>
      <c r="G118" s="317">
        <v>3</v>
      </c>
      <c r="H118" s="317">
        <v>3</v>
      </c>
      <c r="I118" s="317">
        <v>1</v>
      </c>
      <c r="J118" s="317">
        <v>1</v>
      </c>
      <c r="K118" s="317">
        <v>1</v>
      </c>
      <c r="L118" s="317">
        <v>3</v>
      </c>
      <c r="M118" s="317">
        <v>1</v>
      </c>
      <c r="N118" s="317">
        <v>1</v>
      </c>
      <c r="O118" s="317">
        <v>4</v>
      </c>
      <c r="P118" s="317">
        <v>4</v>
      </c>
      <c r="Q118" s="317">
        <v>3</v>
      </c>
      <c r="R118" s="396" t="s">
        <v>1288</v>
      </c>
      <c r="S118" s="7"/>
      <c r="T118" s="4"/>
    </row>
    <row r="119" spans="1:20" ht="14.45" customHeight="1" outlineLevel="1">
      <c r="A119" s="4"/>
      <c r="B119" s="4"/>
      <c r="C119" s="7"/>
      <c r="D119" s="674"/>
      <c r="E119" s="16" t="s">
        <v>708</v>
      </c>
      <c r="F119" s="16" t="s">
        <v>1289</v>
      </c>
      <c r="G119" s="114">
        <v>3</v>
      </c>
      <c r="H119" s="114">
        <v>3</v>
      </c>
      <c r="I119" s="114">
        <v>3</v>
      </c>
      <c r="J119" s="114">
        <v>3</v>
      </c>
      <c r="K119" s="114">
        <v>3</v>
      </c>
      <c r="L119" s="114">
        <v>3</v>
      </c>
      <c r="M119" s="114">
        <v>4</v>
      </c>
      <c r="N119" s="114">
        <v>4</v>
      </c>
      <c r="O119" s="114">
        <v>4</v>
      </c>
      <c r="P119" s="114">
        <v>4</v>
      </c>
      <c r="Q119" s="114">
        <v>3</v>
      </c>
      <c r="R119" s="395" t="s">
        <v>1288</v>
      </c>
      <c r="S119" s="7"/>
      <c r="T119" s="4"/>
    </row>
    <row r="120" spans="1:20" ht="14.45" customHeight="1" outlineLevel="1">
      <c r="A120" s="4"/>
      <c r="B120" s="4"/>
      <c r="C120" s="7"/>
      <c r="D120" s="674"/>
      <c r="E120" s="16"/>
      <c r="F120" s="16" t="s">
        <v>1290</v>
      </c>
      <c r="G120" s="114">
        <v>4</v>
      </c>
      <c r="H120" s="114">
        <v>4</v>
      </c>
      <c r="I120" s="114">
        <v>4</v>
      </c>
      <c r="J120" s="114">
        <v>4</v>
      </c>
      <c r="K120" s="114">
        <v>4</v>
      </c>
      <c r="L120" s="114">
        <v>4</v>
      </c>
      <c r="M120" s="114">
        <v>4</v>
      </c>
      <c r="N120" s="114">
        <v>4</v>
      </c>
      <c r="O120" s="114">
        <v>4</v>
      </c>
      <c r="P120" s="114">
        <v>4</v>
      </c>
      <c r="Q120" s="114">
        <v>4</v>
      </c>
      <c r="R120" s="395"/>
      <c r="S120" s="7"/>
      <c r="T120" s="4"/>
    </row>
    <row r="121" spans="1:20" ht="14.45" customHeight="1" outlineLevel="1">
      <c r="A121" s="4"/>
      <c r="B121" s="4"/>
      <c r="C121" s="7"/>
      <c r="D121" s="674"/>
      <c r="E121" s="16"/>
      <c r="F121" s="16" t="s">
        <v>1291</v>
      </c>
      <c r="G121" s="114">
        <v>4</v>
      </c>
      <c r="H121" s="114">
        <v>4</v>
      </c>
      <c r="I121" s="114">
        <v>4</v>
      </c>
      <c r="J121" s="114">
        <v>4</v>
      </c>
      <c r="K121" s="114">
        <v>4</v>
      </c>
      <c r="L121" s="114">
        <v>4</v>
      </c>
      <c r="M121" s="114">
        <v>4</v>
      </c>
      <c r="N121" s="114">
        <v>4</v>
      </c>
      <c r="O121" s="114">
        <v>4</v>
      </c>
      <c r="P121" s="114">
        <v>4</v>
      </c>
      <c r="Q121" s="114">
        <v>4</v>
      </c>
      <c r="R121" s="395"/>
      <c r="S121" s="7"/>
      <c r="T121" s="4"/>
    </row>
    <row r="122" spans="1:20" outlineLevel="1">
      <c r="A122" s="4"/>
      <c r="B122" s="4"/>
      <c r="C122" s="7"/>
      <c r="D122" s="674"/>
      <c r="E122" s="16"/>
      <c r="F122" s="16" t="s">
        <v>1292</v>
      </c>
      <c r="G122" s="114">
        <v>4</v>
      </c>
      <c r="H122" s="114">
        <v>4</v>
      </c>
      <c r="I122" s="114">
        <v>4</v>
      </c>
      <c r="J122" s="114">
        <v>4</v>
      </c>
      <c r="K122" s="114">
        <v>4</v>
      </c>
      <c r="L122" s="114">
        <v>4</v>
      </c>
      <c r="M122" s="114">
        <v>4</v>
      </c>
      <c r="N122" s="114">
        <v>4</v>
      </c>
      <c r="O122" s="114">
        <v>4</v>
      </c>
      <c r="P122" s="114">
        <v>4</v>
      </c>
      <c r="Q122" s="114">
        <v>4</v>
      </c>
      <c r="R122" s="395"/>
      <c r="S122" s="7"/>
      <c r="T122" s="4"/>
    </row>
    <row r="123" spans="1:20" outlineLevel="1">
      <c r="A123" s="4"/>
      <c r="B123" s="4"/>
      <c r="C123" s="7"/>
      <c r="D123" s="674"/>
      <c r="E123" s="16" t="s">
        <v>714</v>
      </c>
      <c r="F123" s="16" t="s">
        <v>1293</v>
      </c>
      <c r="G123" s="114">
        <v>4</v>
      </c>
      <c r="H123" s="114">
        <v>4</v>
      </c>
      <c r="I123" s="114">
        <v>4</v>
      </c>
      <c r="J123" s="114">
        <v>4</v>
      </c>
      <c r="K123" s="114">
        <v>4</v>
      </c>
      <c r="L123" s="114">
        <v>4</v>
      </c>
      <c r="M123" s="114">
        <v>3</v>
      </c>
      <c r="N123" s="114">
        <v>3</v>
      </c>
      <c r="O123" s="114">
        <v>4</v>
      </c>
      <c r="P123" s="114">
        <v>4</v>
      </c>
      <c r="Q123" s="114">
        <v>3</v>
      </c>
      <c r="R123" s="395" t="s">
        <v>1288</v>
      </c>
      <c r="S123" s="7"/>
      <c r="T123" s="4"/>
    </row>
    <row r="124" spans="1:20" outlineLevel="1">
      <c r="A124" s="4"/>
      <c r="B124" s="4"/>
      <c r="C124" s="7"/>
      <c r="D124" s="674"/>
      <c r="E124" s="16"/>
      <c r="F124" s="16" t="s">
        <v>1294</v>
      </c>
      <c r="G124" s="114">
        <v>4</v>
      </c>
      <c r="H124" s="114">
        <v>4</v>
      </c>
      <c r="I124" s="114">
        <v>4</v>
      </c>
      <c r="J124" s="114">
        <v>4</v>
      </c>
      <c r="K124" s="114">
        <v>4</v>
      </c>
      <c r="L124" s="114">
        <v>4</v>
      </c>
      <c r="M124" s="114">
        <v>4</v>
      </c>
      <c r="N124" s="114">
        <v>4</v>
      </c>
      <c r="O124" s="114">
        <v>4</v>
      </c>
      <c r="P124" s="114">
        <v>4</v>
      </c>
      <c r="Q124" s="114">
        <v>4</v>
      </c>
      <c r="R124" s="395"/>
      <c r="S124" s="7"/>
      <c r="T124" s="4"/>
    </row>
    <row r="125" spans="1:20" outlineLevel="1">
      <c r="A125" s="4"/>
      <c r="B125" s="4"/>
      <c r="C125" s="7"/>
      <c r="D125" s="674"/>
      <c r="E125" s="16" t="s">
        <v>712</v>
      </c>
      <c r="F125" s="16" t="s">
        <v>1295</v>
      </c>
      <c r="G125" s="114">
        <v>4</v>
      </c>
      <c r="H125" s="114">
        <v>4</v>
      </c>
      <c r="I125" s="114">
        <v>4</v>
      </c>
      <c r="J125" s="114">
        <v>4</v>
      </c>
      <c r="K125" s="114">
        <v>4</v>
      </c>
      <c r="L125" s="114">
        <v>4</v>
      </c>
      <c r="M125" s="114">
        <v>4</v>
      </c>
      <c r="N125" s="114">
        <v>4</v>
      </c>
      <c r="O125" s="114">
        <v>4</v>
      </c>
      <c r="P125" s="114">
        <v>4</v>
      </c>
      <c r="Q125" s="114">
        <v>4</v>
      </c>
      <c r="R125" s="395"/>
      <c r="S125" s="7"/>
      <c r="T125" s="4"/>
    </row>
    <row r="126" spans="1:20" outlineLevel="1">
      <c r="A126" s="4"/>
      <c r="B126" s="4"/>
      <c r="C126" s="7"/>
      <c r="D126" s="674"/>
      <c r="E126" s="16" t="s">
        <v>710</v>
      </c>
      <c r="F126" s="16" t="s">
        <v>1296</v>
      </c>
      <c r="G126" s="114">
        <v>4</v>
      </c>
      <c r="H126" s="114">
        <v>4</v>
      </c>
      <c r="I126" s="114">
        <v>4</v>
      </c>
      <c r="J126" s="114">
        <v>4</v>
      </c>
      <c r="K126" s="114">
        <v>4</v>
      </c>
      <c r="L126" s="114">
        <v>4</v>
      </c>
      <c r="M126" s="114">
        <v>4</v>
      </c>
      <c r="N126" s="114">
        <v>4</v>
      </c>
      <c r="O126" s="114">
        <v>4</v>
      </c>
      <c r="P126" s="114">
        <v>4</v>
      </c>
      <c r="Q126" s="114">
        <v>4</v>
      </c>
      <c r="R126" s="395" t="s">
        <v>1297</v>
      </c>
      <c r="S126" s="7"/>
      <c r="T126" s="4"/>
    </row>
    <row r="127" spans="1:20" outlineLevel="1">
      <c r="A127" s="4"/>
      <c r="B127" s="4"/>
      <c r="C127" s="7"/>
      <c r="D127" s="675"/>
      <c r="E127" s="486" t="s">
        <v>1262</v>
      </c>
      <c r="F127" s="470"/>
      <c r="G127" s="119"/>
      <c r="H127" s="119"/>
      <c r="I127" s="119"/>
      <c r="J127" s="119"/>
      <c r="K127" s="119"/>
      <c r="L127" s="119"/>
      <c r="M127" s="119"/>
      <c r="N127" s="119"/>
      <c r="O127" s="119"/>
      <c r="P127" s="119"/>
      <c r="Q127" s="119"/>
      <c r="R127" s="473"/>
      <c r="S127" s="7"/>
      <c r="T127" s="4"/>
    </row>
    <row r="128" spans="1:20" ht="14.45" customHeight="1" outlineLevel="1">
      <c r="A128" s="4"/>
      <c r="B128" s="4"/>
      <c r="C128" s="7"/>
      <c r="D128" s="673" t="s">
        <v>350</v>
      </c>
      <c r="E128" s="316" t="s">
        <v>1298</v>
      </c>
      <c r="F128" s="316" t="s">
        <v>1299</v>
      </c>
      <c r="G128" s="317">
        <v>1</v>
      </c>
      <c r="H128" s="317">
        <v>1</v>
      </c>
      <c r="I128" s="317">
        <v>1</v>
      </c>
      <c r="J128" s="317">
        <v>1</v>
      </c>
      <c r="K128" s="317">
        <v>1</v>
      </c>
      <c r="L128" s="317">
        <v>1</v>
      </c>
      <c r="M128" s="317">
        <v>1</v>
      </c>
      <c r="N128" s="317">
        <v>1</v>
      </c>
      <c r="O128" s="317">
        <v>1</v>
      </c>
      <c r="P128" s="317">
        <v>1</v>
      </c>
      <c r="Q128" s="317">
        <v>1</v>
      </c>
      <c r="R128" s="396" t="s">
        <v>1300</v>
      </c>
      <c r="S128" s="7"/>
      <c r="T128" s="4"/>
    </row>
    <row r="129" spans="1:20" outlineLevel="1">
      <c r="A129" s="4"/>
      <c r="B129" s="4"/>
      <c r="C129" s="7"/>
      <c r="D129" s="674"/>
      <c r="E129" s="16" t="s">
        <v>1301</v>
      </c>
      <c r="F129" s="16" t="s">
        <v>1302</v>
      </c>
      <c r="G129" s="114">
        <v>1</v>
      </c>
      <c r="H129" s="114">
        <v>1</v>
      </c>
      <c r="I129" s="114">
        <v>1</v>
      </c>
      <c r="J129" s="114">
        <v>1</v>
      </c>
      <c r="K129" s="114">
        <v>1</v>
      </c>
      <c r="L129" s="114">
        <v>1</v>
      </c>
      <c r="M129" s="114">
        <v>1</v>
      </c>
      <c r="N129" s="114">
        <v>1</v>
      </c>
      <c r="O129" s="114">
        <v>1</v>
      </c>
      <c r="P129" s="114">
        <v>1</v>
      </c>
      <c r="Q129" s="114">
        <v>1</v>
      </c>
      <c r="R129" s="395" t="s">
        <v>1300</v>
      </c>
      <c r="S129" s="7"/>
      <c r="T129" s="4"/>
    </row>
    <row r="130" spans="1:20" outlineLevel="1">
      <c r="A130" s="4"/>
      <c r="B130" s="4"/>
      <c r="C130" s="7"/>
      <c r="D130" s="674"/>
      <c r="E130" s="16" t="s">
        <v>784</v>
      </c>
      <c r="F130" s="16" t="s">
        <v>1303</v>
      </c>
      <c r="G130" s="114">
        <v>1</v>
      </c>
      <c r="H130" s="114">
        <v>1</v>
      </c>
      <c r="I130" s="114">
        <v>1</v>
      </c>
      <c r="J130" s="114">
        <v>1</v>
      </c>
      <c r="K130" s="114">
        <v>1</v>
      </c>
      <c r="L130" s="114">
        <v>1</v>
      </c>
      <c r="M130" s="114">
        <v>1</v>
      </c>
      <c r="N130" s="114">
        <v>1</v>
      </c>
      <c r="O130" s="114">
        <v>1</v>
      </c>
      <c r="P130" s="114">
        <v>1</v>
      </c>
      <c r="Q130" s="114">
        <v>1</v>
      </c>
      <c r="R130" s="395" t="s">
        <v>1300</v>
      </c>
      <c r="S130" s="7"/>
      <c r="T130" s="4"/>
    </row>
    <row r="131" spans="1:20" outlineLevel="1">
      <c r="A131" s="4"/>
      <c r="B131" s="4"/>
      <c r="C131" s="7"/>
      <c r="D131" s="674"/>
      <c r="E131" s="16" t="s">
        <v>782</v>
      </c>
      <c r="F131" s="16" t="s">
        <v>1304</v>
      </c>
      <c r="G131" s="114">
        <v>1</v>
      </c>
      <c r="H131" s="114">
        <v>1</v>
      </c>
      <c r="I131" s="114">
        <v>1</v>
      </c>
      <c r="J131" s="114">
        <v>1</v>
      </c>
      <c r="K131" s="114">
        <v>1</v>
      </c>
      <c r="L131" s="114">
        <v>1</v>
      </c>
      <c r="M131" s="114">
        <v>1</v>
      </c>
      <c r="N131" s="114">
        <v>1</v>
      </c>
      <c r="O131" s="114">
        <v>1</v>
      </c>
      <c r="P131" s="114">
        <v>1</v>
      </c>
      <c r="Q131" s="114">
        <v>1</v>
      </c>
      <c r="R131" s="395" t="s">
        <v>1300</v>
      </c>
      <c r="S131" s="7"/>
      <c r="T131" s="4"/>
    </row>
    <row r="132" spans="1:20" ht="57.95" outlineLevel="1">
      <c r="A132" s="4"/>
      <c r="B132" s="4"/>
      <c r="C132" s="7"/>
      <c r="D132" s="674"/>
      <c r="E132" s="320" t="s">
        <v>780</v>
      </c>
      <c r="F132" s="320" t="s">
        <v>1305</v>
      </c>
      <c r="G132" s="117">
        <v>4</v>
      </c>
      <c r="H132" s="117">
        <v>4</v>
      </c>
      <c r="I132" s="117">
        <v>3</v>
      </c>
      <c r="J132" s="117">
        <v>4</v>
      </c>
      <c r="K132" s="117">
        <v>3</v>
      </c>
      <c r="L132" s="117">
        <v>4</v>
      </c>
      <c r="M132" s="117">
        <v>4</v>
      </c>
      <c r="N132" s="117">
        <v>4</v>
      </c>
      <c r="O132" s="117">
        <v>4</v>
      </c>
      <c r="P132" s="117">
        <v>4</v>
      </c>
      <c r="Q132" s="117">
        <v>3</v>
      </c>
      <c r="R132" s="397" t="s">
        <v>1306</v>
      </c>
      <c r="S132" s="7"/>
      <c r="T132" s="4"/>
    </row>
    <row r="133" spans="1:20" outlineLevel="1">
      <c r="A133" s="4"/>
      <c r="B133" s="4"/>
      <c r="C133" s="7"/>
      <c r="D133" s="675"/>
      <c r="E133" s="486" t="s">
        <v>1262</v>
      </c>
      <c r="F133" s="470"/>
      <c r="G133" s="119"/>
      <c r="H133" s="119"/>
      <c r="I133" s="119"/>
      <c r="J133" s="119"/>
      <c r="K133" s="119"/>
      <c r="L133" s="119"/>
      <c r="M133" s="119"/>
      <c r="N133" s="119"/>
      <c r="O133" s="119"/>
      <c r="P133" s="119"/>
      <c r="Q133" s="119"/>
      <c r="R133" s="473"/>
      <c r="S133" s="7"/>
      <c r="T133" s="4"/>
    </row>
    <row r="134" spans="1:20" ht="14.45" customHeight="1" outlineLevel="1">
      <c r="A134" s="4"/>
      <c r="B134" s="4"/>
      <c r="C134" s="7"/>
      <c r="D134" s="673" t="s">
        <v>351</v>
      </c>
      <c r="E134" s="18" t="s">
        <v>716</v>
      </c>
      <c r="F134" s="18" t="s">
        <v>373</v>
      </c>
      <c r="G134" s="114">
        <v>4</v>
      </c>
      <c r="H134" s="114">
        <v>4</v>
      </c>
      <c r="I134" s="114">
        <v>3</v>
      </c>
      <c r="J134" s="114">
        <v>4</v>
      </c>
      <c r="K134" s="114">
        <v>3</v>
      </c>
      <c r="L134" s="114">
        <v>4</v>
      </c>
      <c r="M134" s="114">
        <v>3</v>
      </c>
      <c r="N134" s="114">
        <v>4</v>
      </c>
      <c r="O134" s="114">
        <v>4</v>
      </c>
      <c r="P134" s="114">
        <v>4</v>
      </c>
      <c r="Q134" s="114">
        <v>3</v>
      </c>
      <c r="R134" s="395" t="s">
        <v>1307</v>
      </c>
      <c r="S134" s="7"/>
      <c r="T134" s="4"/>
    </row>
    <row r="135" spans="1:20" outlineLevel="1">
      <c r="A135" s="4"/>
      <c r="B135" s="4"/>
      <c r="C135" s="7"/>
      <c r="D135" s="674"/>
      <c r="E135" s="18" t="s">
        <v>717</v>
      </c>
      <c r="F135" s="18" t="s">
        <v>374</v>
      </c>
      <c r="G135" s="114">
        <v>4</v>
      </c>
      <c r="H135" s="114">
        <v>4</v>
      </c>
      <c r="I135" s="114">
        <v>3</v>
      </c>
      <c r="J135" s="114">
        <v>4</v>
      </c>
      <c r="K135" s="114">
        <v>3</v>
      </c>
      <c r="L135" s="114">
        <v>4</v>
      </c>
      <c r="M135" s="114">
        <v>3</v>
      </c>
      <c r="N135" s="114">
        <v>4</v>
      </c>
      <c r="O135" s="114">
        <v>4</v>
      </c>
      <c r="P135" s="114">
        <v>4</v>
      </c>
      <c r="Q135" s="114">
        <v>3</v>
      </c>
      <c r="R135" s="395" t="s">
        <v>1307</v>
      </c>
      <c r="S135" s="7"/>
      <c r="T135" s="4"/>
    </row>
    <row r="136" spans="1:20" outlineLevel="1">
      <c r="A136" s="4"/>
      <c r="B136" s="4"/>
      <c r="C136" s="7"/>
      <c r="D136" s="674"/>
      <c r="E136" s="18" t="s">
        <v>718</v>
      </c>
      <c r="F136" s="18" t="s">
        <v>375</v>
      </c>
      <c r="G136" s="114">
        <v>4</v>
      </c>
      <c r="H136" s="114">
        <v>4</v>
      </c>
      <c r="I136" s="114">
        <v>3</v>
      </c>
      <c r="J136" s="114">
        <v>4</v>
      </c>
      <c r="K136" s="114">
        <v>3</v>
      </c>
      <c r="L136" s="114">
        <v>4</v>
      </c>
      <c r="M136" s="114">
        <v>3</v>
      </c>
      <c r="N136" s="114">
        <v>4</v>
      </c>
      <c r="O136" s="114">
        <v>4</v>
      </c>
      <c r="P136" s="114">
        <v>4</v>
      </c>
      <c r="Q136" s="114">
        <v>3</v>
      </c>
      <c r="R136" s="395" t="s">
        <v>1307</v>
      </c>
      <c r="S136" s="7"/>
      <c r="T136" s="4"/>
    </row>
    <row r="137" spans="1:20" outlineLevel="1">
      <c r="A137" s="4"/>
      <c r="B137" s="4"/>
      <c r="C137" s="7"/>
      <c r="D137" s="674"/>
      <c r="E137" s="18" t="s">
        <v>719</v>
      </c>
      <c r="F137" s="18" t="s">
        <v>376</v>
      </c>
      <c r="G137" s="114">
        <v>4</v>
      </c>
      <c r="H137" s="114">
        <v>4</v>
      </c>
      <c r="I137" s="114">
        <v>3</v>
      </c>
      <c r="J137" s="114">
        <v>4</v>
      </c>
      <c r="K137" s="114">
        <v>3</v>
      </c>
      <c r="L137" s="114">
        <v>4</v>
      </c>
      <c r="M137" s="114">
        <v>3</v>
      </c>
      <c r="N137" s="114">
        <v>4</v>
      </c>
      <c r="O137" s="114">
        <v>4</v>
      </c>
      <c r="P137" s="114">
        <v>4</v>
      </c>
      <c r="Q137" s="114">
        <v>3</v>
      </c>
      <c r="R137" s="395" t="s">
        <v>1307</v>
      </c>
      <c r="S137" s="7"/>
      <c r="T137" s="4"/>
    </row>
    <row r="138" spans="1:20" ht="29.1" outlineLevel="1">
      <c r="A138" s="4"/>
      <c r="B138" s="4"/>
      <c r="C138" s="7"/>
      <c r="D138" s="674"/>
      <c r="E138" s="18" t="s">
        <v>720</v>
      </c>
      <c r="F138" s="18" t="s">
        <v>377</v>
      </c>
      <c r="G138" s="114">
        <v>1</v>
      </c>
      <c r="H138" s="114">
        <v>1</v>
      </c>
      <c r="I138" s="114">
        <v>1</v>
      </c>
      <c r="J138" s="114">
        <v>1</v>
      </c>
      <c r="K138" s="114">
        <v>1</v>
      </c>
      <c r="L138" s="114">
        <v>1</v>
      </c>
      <c r="M138" s="114">
        <v>1</v>
      </c>
      <c r="N138" s="114">
        <v>1</v>
      </c>
      <c r="O138" s="114">
        <v>4</v>
      </c>
      <c r="P138" s="114">
        <v>4</v>
      </c>
      <c r="Q138" s="114">
        <v>3</v>
      </c>
      <c r="R138" s="395" t="s">
        <v>1308</v>
      </c>
      <c r="S138" s="7"/>
      <c r="T138" s="4"/>
    </row>
    <row r="139" spans="1:20" ht="29.1" outlineLevel="1">
      <c r="A139" s="4"/>
      <c r="B139" s="4"/>
      <c r="C139" s="7"/>
      <c r="D139" s="674"/>
      <c r="E139" s="18" t="s">
        <v>722</v>
      </c>
      <c r="F139" s="18" t="s">
        <v>378</v>
      </c>
      <c r="G139" s="114">
        <v>1</v>
      </c>
      <c r="H139" s="114">
        <v>1</v>
      </c>
      <c r="I139" s="114">
        <v>1</v>
      </c>
      <c r="J139" s="114">
        <v>1</v>
      </c>
      <c r="K139" s="114">
        <v>1</v>
      </c>
      <c r="L139" s="114">
        <v>1</v>
      </c>
      <c r="M139" s="114">
        <v>1</v>
      </c>
      <c r="N139" s="114">
        <v>1</v>
      </c>
      <c r="O139" s="114">
        <v>4</v>
      </c>
      <c r="P139" s="114">
        <v>4</v>
      </c>
      <c r="Q139" s="114">
        <v>1</v>
      </c>
      <c r="R139" s="395" t="s">
        <v>1308</v>
      </c>
      <c r="S139" s="7"/>
      <c r="T139" s="4"/>
    </row>
    <row r="140" spans="1:20" ht="29.1" outlineLevel="1">
      <c r="A140" s="4"/>
      <c r="B140" s="4"/>
      <c r="C140" s="7"/>
      <c r="D140" s="674"/>
      <c r="E140" s="18" t="s">
        <v>723</v>
      </c>
      <c r="F140" s="18" t="s">
        <v>379</v>
      </c>
      <c r="G140" s="114">
        <v>1</v>
      </c>
      <c r="H140" s="114">
        <v>1</v>
      </c>
      <c r="I140" s="114">
        <v>1</v>
      </c>
      <c r="J140" s="114">
        <v>1</v>
      </c>
      <c r="K140" s="114">
        <v>1</v>
      </c>
      <c r="L140" s="114">
        <v>1</v>
      </c>
      <c r="M140" s="114">
        <v>1</v>
      </c>
      <c r="N140" s="114">
        <v>1</v>
      </c>
      <c r="O140" s="114">
        <v>4</v>
      </c>
      <c r="P140" s="114">
        <v>4</v>
      </c>
      <c r="Q140" s="114">
        <v>1</v>
      </c>
      <c r="R140" s="395" t="s">
        <v>1308</v>
      </c>
      <c r="S140" s="7"/>
      <c r="T140" s="4"/>
    </row>
    <row r="141" spans="1:20" outlineLevel="1">
      <c r="A141" s="4"/>
      <c r="B141" s="4"/>
      <c r="C141" s="7"/>
      <c r="D141" s="674"/>
      <c r="E141" s="18" t="s">
        <v>724</v>
      </c>
      <c r="F141" s="18" t="s">
        <v>380</v>
      </c>
      <c r="G141" s="114">
        <v>4</v>
      </c>
      <c r="H141" s="114">
        <v>4</v>
      </c>
      <c r="I141" s="114">
        <v>3</v>
      </c>
      <c r="J141" s="114">
        <v>3</v>
      </c>
      <c r="K141" s="114">
        <v>3</v>
      </c>
      <c r="L141" s="114">
        <v>3</v>
      </c>
      <c r="M141" s="114">
        <v>3</v>
      </c>
      <c r="N141" s="114">
        <v>3</v>
      </c>
      <c r="O141" s="114">
        <v>4</v>
      </c>
      <c r="P141" s="114">
        <v>4</v>
      </c>
      <c r="Q141" s="114">
        <v>3</v>
      </c>
      <c r="R141" s="395" t="s">
        <v>1307</v>
      </c>
      <c r="S141" s="7"/>
      <c r="T141" s="4"/>
    </row>
    <row r="142" spans="1:20" outlineLevel="1">
      <c r="A142" s="4"/>
      <c r="B142" s="4"/>
      <c r="C142" s="7"/>
      <c r="D142" s="674"/>
      <c r="E142" s="18" t="s">
        <v>726</v>
      </c>
      <c r="F142" s="18" t="s">
        <v>725</v>
      </c>
      <c r="G142" s="114">
        <v>4</v>
      </c>
      <c r="H142" s="114">
        <v>4</v>
      </c>
      <c r="I142" s="114">
        <v>3</v>
      </c>
      <c r="J142" s="114">
        <v>3</v>
      </c>
      <c r="K142" s="114">
        <v>3</v>
      </c>
      <c r="L142" s="114">
        <v>3</v>
      </c>
      <c r="M142" s="114">
        <v>3</v>
      </c>
      <c r="N142" s="114">
        <v>3</v>
      </c>
      <c r="O142" s="114">
        <v>4</v>
      </c>
      <c r="P142" s="114">
        <v>4</v>
      </c>
      <c r="Q142" s="114">
        <v>3</v>
      </c>
      <c r="R142" s="395" t="s">
        <v>1307</v>
      </c>
      <c r="S142" s="7"/>
      <c r="T142" s="4"/>
    </row>
    <row r="143" spans="1:20" outlineLevel="1">
      <c r="A143" s="4"/>
      <c r="B143" s="4"/>
      <c r="C143" s="7"/>
      <c r="D143" s="674"/>
      <c r="E143" s="18" t="s">
        <v>727</v>
      </c>
      <c r="F143" s="18" t="s">
        <v>382</v>
      </c>
      <c r="G143" s="114">
        <v>3</v>
      </c>
      <c r="H143" s="114">
        <v>3</v>
      </c>
      <c r="I143" s="114">
        <v>3</v>
      </c>
      <c r="J143" s="114">
        <v>3</v>
      </c>
      <c r="K143" s="114">
        <v>3</v>
      </c>
      <c r="L143" s="114">
        <v>3</v>
      </c>
      <c r="M143" s="114">
        <v>3</v>
      </c>
      <c r="N143" s="114">
        <v>3</v>
      </c>
      <c r="O143" s="114">
        <v>4</v>
      </c>
      <c r="P143" s="114">
        <v>4</v>
      </c>
      <c r="Q143" s="114">
        <v>3</v>
      </c>
      <c r="R143" s="395" t="s">
        <v>1307</v>
      </c>
      <c r="S143" s="7"/>
      <c r="T143" s="4"/>
    </row>
    <row r="144" spans="1:20" outlineLevel="1">
      <c r="A144" s="4"/>
      <c r="B144" s="4"/>
      <c r="C144" s="7"/>
      <c r="D144" s="674"/>
      <c r="E144" s="18" t="s">
        <v>728</v>
      </c>
      <c r="F144" s="18" t="s">
        <v>383</v>
      </c>
      <c r="G144" s="114">
        <v>4</v>
      </c>
      <c r="H144" s="114">
        <v>3</v>
      </c>
      <c r="I144" s="114">
        <v>3</v>
      </c>
      <c r="J144" s="114">
        <v>3</v>
      </c>
      <c r="K144" s="114">
        <v>3</v>
      </c>
      <c r="L144" s="114">
        <v>3</v>
      </c>
      <c r="M144" s="114">
        <v>3</v>
      </c>
      <c r="N144" s="114">
        <v>3</v>
      </c>
      <c r="O144" s="114">
        <v>4</v>
      </c>
      <c r="P144" s="114">
        <v>4</v>
      </c>
      <c r="Q144" s="114">
        <v>3</v>
      </c>
      <c r="R144" s="395" t="s">
        <v>1307</v>
      </c>
      <c r="S144" s="7"/>
      <c r="T144" s="4"/>
    </row>
    <row r="145" spans="1:20" outlineLevel="1">
      <c r="A145" s="4"/>
      <c r="B145" s="4"/>
      <c r="C145" s="7"/>
      <c r="D145" s="674"/>
      <c r="E145" s="18" t="s">
        <v>730</v>
      </c>
      <c r="F145" s="18" t="s">
        <v>729</v>
      </c>
      <c r="G145" s="114">
        <v>3</v>
      </c>
      <c r="H145" s="114">
        <v>3</v>
      </c>
      <c r="I145" s="114">
        <v>3</v>
      </c>
      <c r="J145" s="114">
        <v>3</v>
      </c>
      <c r="K145" s="114">
        <v>3</v>
      </c>
      <c r="L145" s="114">
        <v>3</v>
      </c>
      <c r="M145" s="114">
        <v>3</v>
      </c>
      <c r="N145" s="114">
        <v>3</v>
      </c>
      <c r="O145" s="114">
        <v>4</v>
      </c>
      <c r="P145" s="114">
        <v>4</v>
      </c>
      <c r="Q145" s="114">
        <v>3</v>
      </c>
      <c r="R145" s="395" t="s">
        <v>1307</v>
      </c>
      <c r="S145" s="7"/>
      <c r="T145" s="4"/>
    </row>
    <row r="146" spans="1:20" outlineLevel="1">
      <c r="A146" s="4"/>
      <c r="B146" s="4"/>
      <c r="C146" s="7"/>
      <c r="D146" s="674"/>
      <c r="E146" s="18" t="s">
        <v>731</v>
      </c>
      <c r="F146" s="18" t="s">
        <v>387</v>
      </c>
      <c r="G146" s="114">
        <v>3</v>
      </c>
      <c r="H146" s="114">
        <v>3</v>
      </c>
      <c r="I146" s="114">
        <v>3</v>
      </c>
      <c r="J146" s="114">
        <v>3</v>
      </c>
      <c r="K146" s="114">
        <v>3</v>
      </c>
      <c r="L146" s="114">
        <v>3</v>
      </c>
      <c r="M146" s="114">
        <v>3</v>
      </c>
      <c r="N146" s="114">
        <v>3</v>
      </c>
      <c r="O146" s="114">
        <v>4</v>
      </c>
      <c r="P146" s="114">
        <v>4</v>
      </c>
      <c r="Q146" s="114">
        <v>3</v>
      </c>
      <c r="R146" s="395" t="s">
        <v>1309</v>
      </c>
      <c r="S146" s="7"/>
      <c r="T146" s="4"/>
    </row>
    <row r="147" spans="1:20" outlineLevel="1">
      <c r="A147" s="4"/>
      <c r="B147" s="4"/>
      <c r="C147" s="7"/>
      <c r="D147" s="675"/>
      <c r="E147" s="487" t="s">
        <v>1262</v>
      </c>
      <c r="F147" s="121"/>
      <c r="G147" s="119"/>
      <c r="H147" s="119"/>
      <c r="I147" s="119"/>
      <c r="J147" s="119"/>
      <c r="K147" s="119"/>
      <c r="L147" s="119"/>
      <c r="M147" s="119"/>
      <c r="N147" s="119"/>
      <c r="O147" s="119"/>
      <c r="P147" s="119"/>
      <c r="Q147" s="119"/>
      <c r="R147" s="473"/>
      <c r="S147" s="7"/>
      <c r="T147" s="4"/>
    </row>
    <row r="148" spans="1:20" ht="29.1" outlineLevel="1">
      <c r="A148" s="4"/>
      <c r="B148" s="4"/>
      <c r="C148" s="7"/>
      <c r="D148" s="673" t="s">
        <v>732</v>
      </c>
      <c r="E148" s="18" t="s">
        <v>778</v>
      </c>
      <c r="F148" s="18" t="s">
        <v>1310</v>
      </c>
      <c r="G148" s="114">
        <v>1</v>
      </c>
      <c r="H148" s="114">
        <v>1</v>
      </c>
      <c r="I148" s="114">
        <v>1</v>
      </c>
      <c r="J148" s="114">
        <v>1</v>
      </c>
      <c r="K148" s="114">
        <v>1</v>
      </c>
      <c r="L148" s="114">
        <v>1</v>
      </c>
      <c r="M148" s="114">
        <v>1</v>
      </c>
      <c r="N148" s="114">
        <v>1</v>
      </c>
      <c r="O148" s="114">
        <v>4</v>
      </c>
      <c r="P148" s="114">
        <v>4</v>
      </c>
      <c r="Q148" s="114">
        <v>1</v>
      </c>
      <c r="R148" s="395" t="s">
        <v>1300</v>
      </c>
      <c r="S148" s="7"/>
      <c r="T148" s="4"/>
    </row>
    <row r="149" spans="1:20" ht="14.45" customHeight="1" outlineLevel="1">
      <c r="A149" s="4"/>
      <c r="B149" s="4"/>
      <c r="C149" s="7"/>
      <c r="D149" s="674"/>
      <c r="E149" s="18" t="s">
        <v>733</v>
      </c>
      <c r="F149" s="111" t="s">
        <v>734</v>
      </c>
      <c r="G149" s="114">
        <v>4</v>
      </c>
      <c r="H149" s="114">
        <v>4</v>
      </c>
      <c r="I149" s="114">
        <v>4</v>
      </c>
      <c r="J149" s="114">
        <v>4</v>
      </c>
      <c r="K149" s="114">
        <v>4</v>
      </c>
      <c r="L149" s="114">
        <v>4</v>
      </c>
      <c r="M149" s="114">
        <v>4</v>
      </c>
      <c r="N149" s="114">
        <v>4</v>
      </c>
      <c r="O149" s="114">
        <v>4</v>
      </c>
      <c r="P149" s="114">
        <v>4</v>
      </c>
      <c r="Q149" s="114">
        <v>4</v>
      </c>
      <c r="R149" s="395"/>
      <c r="S149" s="7"/>
      <c r="T149" s="4"/>
    </row>
    <row r="150" spans="1:20" ht="29.1" outlineLevel="1">
      <c r="A150" s="4"/>
      <c r="B150" s="4"/>
      <c r="C150" s="7"/>
      <c r="D150" s="674"/>
      <c r="E150" s="18" t="s">
        <v>735</v>
      </c>
      <c r="F150" s="111" t="s">
        <v>736</v>
      </c>
      <c r="G150" s="114">
        <v>3</v>
      </c>
      <c r="H150" s="114">
        <v>3</v>
      </c>
      <c r="I150" s="114">
        <v>3</v>
      </c>
      <c r="J150" s="114">
        <v>3</v>
      </c>
      <c r="K150" s="114">
        <v>3</v>
      </c>
      <c r="L150" s="114">
        <v>3</v>
      </c>
      <c r="M150" s="114">
        <v>3</v>
      </c>
      <c r="N150" s="114">
        <v>3</v>
      </c>
      <c r="O150" s="114">
        <v>4</v>
      </c>
      <c r="P150" s="114">
        <v>4</v>
      </c>
      <c r="Q150" s="114">
        <v>3</v>
      </c>
      <c r="R150" s="395" t="s">
        <v>1311</v>
      </c>
      <c r="S150" s="7"/>
      <c r="T150" s="4"/>
    </row>
    <row r="151" spans="1:20" ht="29.1" outlineLevel="1">
      <c r="A151" s="4"/>
      <c r="B151" s="4"/>
      <c r="C151" s="7"/>
      <c r="D151" s="674"/>
      <c r="E151" s="18" t="s">
        <v>737</v>
      </c>
      <c r="F151" s="111" t="s">
        <v>738</v>
      </c>
      <c r="G151" s="114">
        <v>3</v>
      </c>
      <c r="H151" s="114">
        <v>3</v>
      </c>
      <c r="I151" s="114">
        <v>3</v>
      </c>
      <c r="J151" s="114">
        <v>3</v>
      </c>
      <c r="K151" s="114">
        <v>3</v>
      </c>
      <c r="L151" s="114">
        <v>3</v>
      </c>
      <c r="M151" s="114">
        <v>3</v>
      </c>
      <c r="N151" s="114">
        <v>3</v>
      </c>
      <c r="O151" s="114">
        <v>4</v>
      </c>
      <c r="P151" s="114">
        <v>4</v>
      </c>
      <c r="Q151" s="114">
        <v>3</v>
      </c>
      <c r="R151" s="395" t="s">
        <v>1311</v>
      </c>
      <c r="S151" s="7"/>
      <c r="T151" s="4"/>
    </row>
    <row r="152" spans="1:20" ht="29.1" outlineLevel="1">
      <c r="A152" s="4"/>
      <c r="B152" s="4"/>
      <c r="C152" s="7"/>
      <c r="D152" s="674"/>
      <c r="E152" s="18" t="s">
        <v>739</v>
      </c>
      <c r="F152" s="111" t="s">
        <v>740</v>
      </c>
      <c r="G152" s="114">
        <v>1</v>
      </c>
      <c r="H152" s="114">
        <v>1</v>
      </c>
      <c r="I152" s="114">
        <v>1</v>
      </c>
      <c r="J152" s="114">
        <v>1</v>
      </c>
      <c r="K152" s="114">
        <v>1</v>
      </c>
      <c r="L152" s="114">
        <v>1</v>
      </c>
      <c r="M152" s="114">
        <v>3</v>
      </c>
      <c r="N152" s="114">
        <v>3</v>
      </c>
      <c r="O152" s="114">
        <v>4</v>
      </c>
      <c r="P152" s="114">
        <v>4</v>
      </c>
      <c r="Q152" s="114">
        <v>3</v>
      </c>
      <c r="R152" s="395" t="s">
        <v>1311</v>
      </c>
      <c r="S152" s="7"/>
      <c r="T152" s="4"/>
    </row>
    <row r="153" spans="1:20" ht="29.1" outlineLevel="1">
      <c r="A153" s="4"/>
      <c r="B153" s="4"/>
      <c r="C153" s="7"/>
      <c r="D153" s="674"/>
      <c r="E153" s="18" t="s">
        <v>741</v>
      </c>
      <c r="F153" s="111" t="s">
        <v>742</v>
      </c>
      <c r="G153" s="114">
        <v>3</v>
      </c>
      <c r="H153" s="114">
        <v>3</v>
      </c>
      <c r="I153" s="114">
        <v>3</v>
      </c>
      <c r="J153" s="114">
        <v>3</v>
      </c>
      <c r="K153" s="114">
        <v>3</v>
      </c>
      <c r="L153" s="114">
        <v>3</v>
      </c>
      <c r="M153" s="114">
        <v>3</v>
      </c>
      <c r="N153" s="114">
        <v>3</v>
      </c>
      <c r="O153" s="114">
        <v>4</v>
      </c>
      <c r="P153" s="114">
        <v>4</v>
      </c>
      <c r="Q153" s="114">
        <v>3</v>
      </c>
      <c r="R153" s="395" t="s">
        <v>1311</v>
      </c>
      <c r="S153" s="7"/>
      <c r="T153" s="4"/>
    </row>
    <row r="154" spans="1:20" ht="43.5" outlineLevel="1">
      <c r="A154" s="4"/>
      <c r="B154" s="4"/>
      <c r="C154" s="7"/>
      <c r="D154" s="674"/>
      <c r="E154" s="18" t="s">
        <v>743</v>
      </c>
      <c r="F154" s="111" t="s">
        <v>744</v>
      </c>
      <c r="G154" s="114">
        <v>3</v>
      </c>
      <c r="H154" s="114">
        <v>3</v>
      </c>
      <c r="I154" s="114">
        <v>3</v>
      </c>
      <c r="J154" s="114">
        <v>3</v>
      </c>
      <c r="K154" s="114">
        <v>3</v>
      </c>
      <c r="L154" s="114">
        <v>3</v>
      </c>
      <c r="M154" s="114">
        <v>3</v>
      </c>
      <c r="N154" s="114">
        <v>3</v>
      </c>
      <c r="O154" s="114">
        <v>4</v>
      </c>
      <c r="P154" s="114">
        <v>4</v>
      </c>
      <c r="Q154" s="114">
        <v>3</v>
      </c>
      <c r="R154" s="395" t="s">
        <v>1311</v>
      </c>
      <c r="S154" s="7"/>
      <c r="T154" s="4"/>
    </row>
    <row r="155" spans="1:20" ht="43.5" outlineLevel="1">
      <c r="A155" s="4"/>
      <c r="B155" s="4"/>
      <c r="C155" s="7"/>
      <c r="D155" s="674"/>
      <c r="E155" s="18" t="s">
        <v>745</v>
      </c>
      <c r="F155" s="111" t="s">
        <v>395</v>
      </c>
      <c r="G155" s="114">
        <v>1</v>
      </c>
      <c r="H155" s="114">
        <v>1</v>
      </c>
      <c r="I155" s="114">
        <v>3</v>
      </c>
      <c r="J155" s="114">
        <v>3</v>
      </c>
      <c r="K155" s="114">
        <v>3</v>
      </c>
      <c r="L155" s="114">
        <v>3</v>
      </c>
      <c r="M155" s="114">
        <v>3</v>
      </c>
      <c r="N155" s="114">
        <v>3</v>
      </c>
      <c r="O155" s="114">
        <v>4</v>
      </c>
      <c r="P155" s="114">
        <v>4</v>
      </c>
      <c r="Q155" s="114">
        <v>3</v>
      </c>
      <c r="R155" s="395" t="s">
        <v>1311</v>
      </c>
      <c r="S155" s="7"/>
      <c r="T155" s="4"/>
    </row>
    <row r="156" spans="1:20" ht="101.45" outlineLevel="1">
      <c r="A156" s="4"/>
      <c r="B156" s="4"/>
      <c r="C156" s="7"/>
      <c r="D156" s="674"/>
      <c r="E156" s="18" t="s">
        <v>746</v>
      </c>
      <c r="F156" s="111" t="s">
        <v>747</v>
      </c>
      <c r="G156" s="114">
        <v>4</v>
      </c>
      <c r="H156" s="114">
        <v>4</v>
      </c>
      <c r="I156" s="114">
        <v>4</v>
      </c>
      <c r="J156" s="114">
        <v>4</v>
      </c>
      <c r="K156" s="114">
        <v>4</v>
      </c>
      <c r="L156" s="114">
        <v>4</v>
      </c>
      <c r="M156" s="114">
        <v>4</v>
      </c>
      <c r="N156" s="114">
        <v>4</v>
      </c>
      <c r="O156" s="114">
        <v>4</v>
      </c>
      <c r="P156" s="114">
        <v>4</v>
      </c>
      <c r="Q156" s="114">
        <v>4</v>
      </c>
      <c r="R156" s="395"/>
      <c r="S156" s="7"/>
      <c r="T156" s="4"/>
    </row>
    <row r="157" spans="1:20" ht="72.599999999999994" outlineLevel="1">
      <c r="A157" s="4"/>
      <c r="B157" s="4"/>
      <c r="C157" s="7"/>
      <c r="D157" s="674"/>
      <c r="E157" s="18" t="s">
        <v>748</v>
      </c>
      <c r="F157" s="111" t="s">
        <v>749</v>
      </c>
      <c r="G157" s="114">
        <v>4</v>
      </c>
      <c r="H157" s="114">
        <v>4</v>
      </c>
      <c r="I157" s="114">
        <v>4</v>
      </c>
      <c r="J157" s="114">
        <v>4</v>
      </c>
      <c r="K157" s="114">
        <v>4</v>
      </c>
      <c r="L157" s="114">
        <v>4</v>
      </c>
      <c r="M157" s="114">
        <v>4</v>
      </c>
      <c r="N157" s="114">
        <v>4</v>
      </c>
      <c r="O157" s="114">
        <v>4</v>
      </c>
      <c r="P157" s="114">
        <v>4</v>
      </c>
      <c r="Q157" s="114">
        <v>4</v>
      </c>
      <c r="R157" s="395"/>
      <c r="S157" s="7"/>
      <c r="T157" s="4"/>
    </row>
    <row r="158" spans="1:20" outlineLevel="1">
      <c r="A158" s="4"/>
      <c r="B158" s="4"/>
      <c r="C158" s="7"/>
      <c r="D158" s="675"/>
      <c r="E158" s="487" t="s">
        <v>1262</v>
      </c>
      <c r="F158" s="476"/>
      <c r="G158" s="119"/>
      <c r="H158" s="119"/>
      <c r="I158" s="119"/>
      <c r="J158" s="119"/>
      <c r="K158" s="119"/>
      <c r="L158" s="119"/>
      <c r="M158" s="119"/>
      <c r="N158" s="119"/>
      <c r="O158" s="119"/>
      <c r="P158" s="119"/>
      <c r="Q158" s="119"/>
      <c r="R158" s="473"/>
      <c r="S158" s="7"/>
      <c r="T158" s="4"/>
    </row>
    <row r="159" spans="1:20" ht="43.5" outlineLevel="1">
      <c r="A159" s="4"/>
      <c r="B159" s="4"/>
      <c r="C159" s="7"/>
      <c r="D159" s="673" t="s">
        <v>751</v>
      </c>
      <c r="E159" s="18" t="s">
        <v>750</v>
      </c>
      <c r="F159" s="18" t="s">
        <v>1312</v>
      </c>
      <c r="G159" s="114">
        <v>4</v>
      </c>
      <c r="H159" s="114">
        <v>4</v>
      </c>
      <c r="I159" s="114">
        <v>3</v>
      </c>
      <c r="J159" s="114">
        <v>3</v>
      </c>
      <c r="K159" s="114">
        <v>3</v>
      </c>
      <c r="L159" s="114">
        <v>3</v>
      </c>
      <c r="M159" s="114">
        <v>3</v>
      </c>
      <c r="N159" s="114">
        <v>3</v>
      </c>
      <c r="O159" s="114">
        <v>1</v>
      </c>
      <c r="P159" s="114">
        <v>1</v>
      </c>
      <c r="Q159" s="114">
        <v>3</v>
      </c>
      <c r="R159" s="395" t="s">
        <v>1313</v>
      </c>
      <c r="S159" s="7"/>
      <c r="T159" s="4"/>
    </row>
    <row r="160" spans="1:20" ht="29.1" outlineLevel="1">
      <c r="A160" s="4"/>
      <c r="B160" s="4"/>
      <c r="C160" s="7"/>
      <c r="D160" s="674"/>
      <c r="E160" s="18" t="s">
        <v>753</v>
      </c>
      <c r="F160" s="18" t="s">
        <v>1314</v>
      </c>
      <c r="G160" s="114">
        <v>3</v>
      </c>
      <c r="H160" s="114">
        <v>3</v>
      </c>
      <c r="I160" s="114">
        <v>3</v>
      </c>
      <c r="J160" s="114">
        <v>3</v>
      </c>
      <c r="K160" s="114">
        <v>3</v>
      </c>
      <c r="L160" s="114">
        <v>3</v>
      </c>
      <c r="M160" s="114">
        <v>3</v>
      </c>
      <c r="N160" s="114">
        <v>3</v>
      </c>
      <c r="O160" s="114">
        <v>1</v>
      </c>
      <c r="P160" s="114">
        <v>1</v>
      </c>
      <c r="Q160" s="114">
        <v>3</v>
      </c>
      <c r="R160" s="395" t="s">
        <v>1313</v>
      </c>
      <c r="S160" s="7"/>
      <c r="T160" s="4"/>
    </row>
    <row r="161" spans="1:20" ht="29.1" outlineLevel="1">
      <c r="A161" s="4"/>
      <c r="B161" s="4"/>
      <c r="C161" s="7"/>
      <c r="D161" s="674"/>
      <c r="E161" s="18" t="s">
        <v>755</v>
      </c>
      <c r="F161" s="18" t="s">
        <v>1315</v>
      </c>
      <c r="G161" s="114">
        <v>4</v>
      </c>
      <c r="H161" s="114">
        <v>4</v>
      </c>
      <c r="I161" s="114">
        <v>3</v>
      </c>
      <c r="J161" s="114">
        <v>3</v>
      </c>
      <c r="K161" s="114">
        <v>3</v>
      </c>
      <c r="L161" s="114">
        <v>3</v>
      </c>
      <c r="M161" s="114">
        <v>3</v>
      </c>
      <c r="N161" s="114">
        <v>3</v>
      </c>
      <c r="O161" s="114">
        <v>1</v>
      </c>
      <c r="P161" s="114">
        <v>1</v>
      </c>
      <c r="Q161" s="114">
        <v>3</v>
      </c>
      <c r="R161" s="395" t="s">
        <v>1313</v>
      </c>
      <c r="S161" s="7"/>
      <c r="T161" s="4"/>
    </row>
    <row r="162" spans="1:20" ht="29.1" outlineLevel="1">
      <c r="A162" s="4"/>
      <c r="B162" s="4"/>
      <c r="C162" s="7"/>
      <c r="D162" s="674"/>
      <c r="E162" s="18" t="s">
        <v>757</v>
      </c>
      <c r="F162" s="18" t="s">
        <v>1316</v>
      </c>
      <c r="G162" s="114">
        <v>4</v>
      </c>
      <c r="H162" s="114">
        <v>4</v>
      </c>
      <c r="I162" s="114">
        <v>3</v>
      </c>
      <c r="J162" s="114">
        <v>3</v>
      </c>
      <c r="K162" s="114">
        <v>3</v>
      </c>
      <c r="L162" s="114">
        <v>3</v>
      </c>
      <c r="M162" s="114">
        <v>3</v>
      </c>
      <c r="N162" s="114">
        <v>3</v>
      </c>
      <c r="O162" s="114">
        <v>1</v>
      </c>
      <c r="P162" s="114">
        <v>1</v>
      </c>
      <c r="Q162" s="114">
        <v>3</v>
      </c>
      <c r="R162" s="395" t="s">
        <v>1313</v>
      </c>
      <c r="S162" s="7"/>
      <c r="T162" s="4"/>
    </row>
    <row r="163" spans="1:20" ht="29.1" outlineLevel="1">
      <c r="A163" s="4"/>
      <c r="B163" s="4"/>
      <c r="C163" s="7"/>
      <c r="D163" s="674"/>
      <c r="E163" s="18" t="s">
        <v>759</v>
      </c>
      <c r="F163" s="18" t="s">
        <v>1317</v>
      </c>
      <c r="G163" s="114">
        <v>4</v>
      </c>
      <c r="H163" s="114">
        <v>4</v>
      </c>
      <c r="I163" s="114">
        <v>3</v>
      </c>
      <c r="J163" s="114">
        <v>4</v>
      </c>
      <c r="K163" s="114">
        <v>4</v>
      </c>
      <c r="L163" s="114">
        <v>4</v>
      </c>
      <c r="M163" s="114">
        <v>4</v>
      </c>
      <c r="N163" s="114">
        <v>4</v>
      </c>
      <c r="O163" s="114">
        <v>1</v>
      </c>
      <c r="P163" s="114">
        <v>1</v>
      </c>
      <c r="Q163" s="114">
        <v>3</v>
      </c>
      <c r="R163" s="395" t="s">
        <v>1313</v>
      </c>
      <c r="S163" s="7"/>
      <c r="T163" s="4"/>
    </row>
    <row r="164" spans="1:20" ht="101.45" outlineLevel="1">
      <c r="A164" s="4"/>
      <c r="B164" s="4"/>
      <c r="C164" s="7"/>
      <c r="D164" s="674"/>
      <c r="E164" s="18" t="s">
        <v>761</v>
      </c>
      <c r="F164" s="18" t="s">
        <v>1318</v>
      </c>
      <c r="G164" s="114">
        <v>4</v>
      </c>
      <c r="H164" s="114">
        <v>4</v>
      </c>
      <c r="I164" s="114">
        <v>3</v>
      </c>
      <c r="J164" s="114">
        <v>3</v>
      </c>
      <c r="K164" s="114">
        <v>3</v>
      </c>
      <c r="L164" s="114">
        <v>3</v>
      </c>
      <c r="M164" s="114">
        <v>3</v>
      </c>
      <c r="N164" s="114">
        <v>3</v>
      </c>
      <c r="O164" s="114">
        <v>1</v>
      </c>
      <c r="P164" s="114">
        <v>1</v>
      </c>
      <c r="Q164" s="114">
        <v>3</v>
      </c>
      <c r="R164" s="395" t="s">
        <v>1313</v>
      </c>
      <c r="S164" s="7"/>
      <c r="T164" s="4"/>
    </row>
    <row r="165" spans="1:20" ht="29.1" outlineLevel="1">
      <c r="A165" s="4"/>
      <c r="B165" s="4"/>
      <c r="C165" s="7"/>
      <c r="D165" s="674"/>
      <c r="E165" s="18" t="s">
        <v>763</v>
      </c>
      <c r="F165" s="18" t="s">
        <v>1319</v>
      </c>
      <c r="G165" s="114">
        <v>4</v>
      </c>
      <c r="H165" s="114">
        <v>4</v>
      </c>
      <c r="I165" s="114">
        <v>3</v>
      </c>
      <c r="J165" s="114">
        <v>3</v>
      </c>
      <c r="K165" s="114">
        <v>3</v>
      </c>
      <c r="L165" s="114">
        <v>3</v>
      </c>
      <c r="M165" s="114">
        <v>3</v>
      </c>
      <c r="N165" s="114">
        <v>3</v>
      </c>
      <c r="O165" s="114">
        <v>1</v>
      </c>
      <c r="P165" s="114">
        <v>1</v>
      </c>
      <c r="Q165" s="114">
        <v>3</v>
      </c>
      <c r="R165" s="395" t="s">
        <v>1313</v>
      </c>
      <c r="S165" s="7"/>
      <c r="T165" s="4"/>
    </row>
    <row r="166" spans="1:20" ht="87" outlineLevel="1">
      <c r="A166" s="4"/>
      <c r="B166" s="4"/>
      <c r="C166" s="7"/>
      <c r="D166" s="674"/>
      <c r="E166" s="18" t="s">
        <v>765</v>
      </c>
      <c r="F166" s="18" t="s">
        <v>1320</v>
      </c>
      <c r="G166" s="114">
        <v>4</v>
      </c>
      <c r="H166" s="114">
        <v>4</v>
      </c>
      <c r="I166" s="114">
        <v>3</v>
      </c>
      <c r="J166" s="114">
        <v>3</v>
      </c>
      <c r="K166" s="114">
        <v>3</v>
      </c>
      <c r="L166" s="114">
        <v>3</v>
      </c>
      <c r="M166" s="114">
        <v>3</v>
      </c>
      <c r="N166" s="114">
        <v>3</v>
      </c>
      <c r="O166" s="114">
        <v>1</v>
      </c>
      <c r="P166" s="114">
        <v>1</v>
      </c>
      <c r="Q166" s="114">
        <v>3</v>
      </c>
      <c r="R166" s="395" t="s">
        <v>1313</v>
      </c>
      <c r="S166" s="7"/>
      <c r="T166" s="4"/>
    </row>
    <row r="167" spans="1:20" ht="57.95" outlineLevel="1">
      <c r="A167" s="4"/>
      <c r="B167" s="4"/>
      <c r="C167" s="7"/>
      <c r="D167" s="674"/>
      <c r="E167" s="18" t="s">
        <v>767</v>
      </c>
      <c r="F167" s="18" t="s">
        <v>1321</v>
      </c>
      <c r="G167" s="114">
        <v>4</v>
      </c>
      <c r="H167" s="114">
        <v>4</v>
      </c>
      <c r="I167" s="114">
        <v>3</v>
      </c>
      <c r="J167" s="114">
        <v>3</v>
      </c>
      <c r="K167" s="114">
        <v>3</v>
      </c>
      <c r="L167" s="114">
        <v>3</v>
      </c>
      <c r="M167" s="114">
        <v>3</v>
      </c>
      <c r="N167" s="114">
        <v>3</v>
      </c>
      <c r="O167" s="114">
        <v>1</v>
      </c>
      <c r="P167" s="114">
        <v>1</v>
      </c>
      <c r="Q167" s="114">
        <v>3</v>
      </c>
      <c r="R167" s="395" t="s">
        <v>1313</v>
      </c>
      <c r="S167" s="7"/>
      <c r="T167" s="4"/>
    </row>
    <row r="168" spans="1:20" ht="29.1" outlineLevel="1">
      <c r="A168" s="4"/>
      <c r="B168" s="4"/>
      <c r="C168" s="7"/>
      <c r="D168" s="674"/>
      <c r="E168" s="18" t="s">
        <v>769</v>
      </c>
      <c r="F168" s="18" t="s">
        <v>1322</v>
      </c>
      <c r="G168" s="114">
        <v>4</v>
      </c>
      <c r="H168" s="114">
        <v>4</v>
      </c>
      <c r="I168" s="114">
        <v>3</v>
      </c>
      <c r="J168" s="114">
        <v>4</v>
      </c>
      <c r="K168" s="114">
        <v>3</v>
      </c>
      <c r="L168" s="114">
        <v>3</v>
      </c>
      <c r="M168" s="114">
        <v>3</v>
      </c>
      <c r="N168" s="114">
        <v>4</v>
      </c>
      <c r="O168" s="114">
        <v>4</v>
      </c>
      <c r="P168" s="114">
        <v>4</v>
      </c>
      <c r="Q168" s="114">
        <v>3</v>
      </c>
      <c r="R168" s="395" t="s">
        <v>1313</v>
      </c>
      <c r="S168" s="7"/>
      <c r="T168" s="4"/>
    </row>
    <row r="169" spans="1:20" ht="29.1" outlineLevel="1">
      <c r="A169" s="4"/>
      <c r="B169" s="4"/>
      <c r="C169" s="7"/>
      <c r="D169" s="674"/>
      <c r="E169" s="18" t="s">
        <v>771</v>
      </c>
      <c r="F169" s="18" t="s">
        <v>772</v>
      </c>
      <c r="G169" s="114">
        <v>3</v>
      </c>
      <c r="H169" s="114">
        <v>3</v>
      </c>
      <c r="I169" s="114">
        <v>3</v>
      </c>
      <c r="J169" s="114">
        <v>3</v>
      </c>
      <c r="K169" s="114">
        <v>3</v>
      </c>
      <c r="L169" s="114">
        <v>3</v>
      </c>
      <c r="M169" s="114">
        <v>3</v>
      </c>
      <c r="N169" s="114">
        <v>3</v>
      </c>
      <c r="O169" s="114">
        <v>4</v>
      </c>
      <c r="P169" s="114">
        <v>4</v>
      </c>
      <c r="Q169" s="114">
        <v>3</v>
      </c>
      <c r="R169" s="395" t="s">
        <v>1313</v>
      </c>
      <c r="S169" s="7"/>
      <c r="T169" s="4"/>
    </row>
    <row r="170" spans="1:20" ht="57.95" outlineLevel="1">
      <c r="A170" s="4"/>
      <c r="B170" s="4"/>
      <c r="C170" s="7"/>
      <c r="D170" s="674"/>
      <c r="E170" s="18" t="s">
        <v>774</v>
      </c>
      <c r="F170" s="18" t="s">
        <v>1323</v>
      </c>
      <c r="G170" s="114">
        <v>3</v>
      </c>
      <c r="H170" s="114">
        <v>3</v>
      </c>
      <c r="I170" s="114">
        <v>3</v>
      </c>
      <c r="J170" s="114">
        <v>3</v>
      </c>
      <c r="K170" s="114">
        <v>3</v>
      </c>
      <c r="L170" s="114">
        <v>3</v>
      </c>
      <c r="M170" s="114">
        <v>3</v>
      </c>
      <c r="N170" s="114">
        <v>3</v>
      </c>
      <c r="O170" s="114">
        <v>3</v>
      </c>
      <c r="P170" s="114">
        <v>3</v>
      </c>
      <c r="Q170" s="114">
        <v>3</v>
      </c>
      <c r="R170" s="395" t="s">
        <v>1313</v>
      </c>
      <c r="S170" s="7"/>
      <c r="T170" s="4"/>
    </row>
    <row r="171" spans="1:20" ht="72.599999999999994" outlineLevel="1">
      <c r="A171" s="4"/>
      <c r="B171" s="4"/>
      <c r="C171" s="7"/>
      <c r="D171" s="674"/>
      <c r="E171" s="18" t="s">
        <v>776</v>
      </c>
      <c r="F171" s="18" t="s">
        <v>1324</v>
      </c>
      <c r="G171" s="114">
        <v>3</v>
      </c>
      <c r="H171" s="114">
        <v>3</v>
      </c>
      <c r="I171" s="114">
        <v>3</v>
      </c>
      <c r="J171" s="114">
        <v>3</v>
      </c>
      <c r="K171" s="114">
        <v>3</v>
      </c>
      <c r="L171" s="114">
        <v>3</v>
      </c>
      <c r="M171" s="114">
        <v>3</v>
      </c>
      <c r="N171" s="114">
        <v>3</v>
      </c>
      <c r="O171" s="114">
        <v>4</v>
      </c>
      <c r="P171" s="114">
        <v>4</v>
      </c>
      <c r="Q171" s="114">
        <v>3</v>
      </c>
      <c r="R171" s="395" t="s">
        <v>1313</v>
      </c>
      <c r="S171" s="7"/>
      <c r="T171" s="4"/>
    </row>
    <row r="172" spans="1:20" ht="29.1" outlineLevel="1">
      <c r="A172" s="4"/>
      <c r="B172" s="4"/>
      <c r="C172" s="7"/>
      <c r="D172" s="674"/>
      <c r="E172" s="18" t="s">
        <v>778</v>
      </c>
      <c r="F172" s="18" t="s">
        <v>1325</v>
      </c>
      <c r="G172" s="114">
        <v>3</v>
      </c>
      <c r="H172" s="114">
        <v>3</v>
      </c>
      <c r="I172" s="114">
        <v>3</v>
      </c>
      <c r="J172" s="114">
        <v>3</v>
      </c>
      <c r="K172" s="114">
        <v>3</v>
      </c>
      <c r="L172" s="114">
        <v>3</v>
      </c>
      <c r="M172" s="114">
        <v>3</v>
      </c>
      <c r="N172" s="114">
        <v>3</v>
      </c>
      <c r="O172" s="114">
        <v>4</v>
      </c>
      <c r="P172" s="114">
        <v>4</v>
      </c>
      <c r="Q172" s="114">
        <v>3</v>
      </c>
      <c r="R172" s="395" t="s">
        <v>1313</v>
      </c>
      <c r="S172" s="7"/>
      <c r="T172" s="4"/>
    </row>
    <row r="173" spans="1:20" outlineLevel="1">
      <c r="A173" s="4"/>
      <c r="B173" s="4"/>
      <c r="C173" s="7"/>
      <c r="D173" s="675"/>
      <c r="E173" s="487" t="s">
        <v>1262</v>
      </c>
      <c r="F173" s="121"/>
      <c r="G173" s="119"/>
      <c r="H173" s="119"/>
      <c r="I173" s="119"/>
      <c r="J173" s="119"/>
      <c r="K173" s="119"/>
      <c r="L173" s="119"/>
      <c r="M173" s="119"/>
      <c r="N173" s="119"/>
      <c r="O173" s="119"/>
      <c r="P173" s="119"/>
      <c r="Q173" s="119"/>
      <c r="R173" s="473"/>
      <c r="S173" s="7"/>
      <c r="T173" s="4"/>
    </row>
    <row r="174" spans="1:20" ht="14.45" customHeight="1" outlineLevel="1">
      <c r="A174" s="4"/>
      <c r="B174" s="4"/>
      <c r="C174" s="7"/>
      <c r="D174" s="673" t="s">
        <v>1326</v>
      </c>
      <c r="E174" s="316" t="s">
        <v>790</v>
      </c>
      <c r="F174" s="316" t="s">
        <v>1327</v>
      </c>
      <c r="G174" s="223">
        <v>135</v>
      </c>
      <c r="H174" s="321">
        <v>100</v>
      </c>
      <c r="I174" s="321">
        <v>2592.5</v>
      </c>
      <c r="J174" s="322">
        <v>2708.3</v>
      </c>
      <c r="K174" s="321">
        <v>166.08</v>
      </c>
      <c r="L174" s="321">
        <v>10118.530000000001</v>
      </c>
      <c r="M174" s="321">
        <v>1003.75</v>
      </c>
      <c r="N174" s="321">
        <v>297.39</v>
      </c>
      <c r="O174" s="321">
        <v>10000</v>
      </c>
      <c r="P174" s="321">
        <v>10000</v>
      </c>
      <c r="Q174" s="391">
        <f>SUM(Table859193[[#This Row],[Azure AD]:[Order Fulfillment]])</f>
        <v>37121.550000000003</v>
      </c>
      <c r="R174" s="396"/>
      <c r="S174" s="7"/>
      <c r="T174" s="4"/>
    </row>
    <row r="175" spans="1:20" outlineLevel="1">
      <c r="A175" s="4"/>
      <c r="B175" s="4"/>
      <c r="C175" s="7"/>
      <c r="D175" s="674"/>
      <c r="E175" s="16" t="s">
        <v>790</v>
      </c>
      <c r="F175" s="16" t="s">
        <v>1040</v>
      </c>
      <c r="G175" s="312">
        <v>0</v>
      </c>
      <c r="H175" s="312">
        <v>0</v>
      </c>
      <c r="I175" s="312">
        <v>0</v>
      </c>
      <c r="J175" s="312">
        <v>0</v>
      </c>
      <c r="K175" s="312">
        <v>0</v>
      </c>
      <c r="L175" s="312">
        <v>0</v>
      </c>
      <c r="M175" s="312">
        <v>0</v>
      </c>
      <c r="N175" s="312">
        <v>0</v>
      </c>
      <c r="O175" s="312">
        <v>5000</v>
      </c>
      <c r="P175" s="312">
        <v>5000</v>
      </c>
      <c r="Q175" s="392">
        <f>SUM(Table859193[[#This Row],[Azure AD]:[Order Fulfillment]])</f>
        <v>10000</v>
      </c>
      <c r="R175" s="395"/>
      <c r="S175" s="7"/>
      <c r="T175" s="4"/>
    </row>
    <row r="176" spans="1:20" ht="43.5" outlineLevel="1">
      <c r="A176" s="4"/>
      <c r="B176" s="4"/>
      <c r="C176" s="7"/>
      <c r="D176" s="674"/>
      <c r="E176" s="16" t="s">
        <v>790</v>
      </c>
      <c r="F176" s="16" t="s">
        <v>350</v>
      </c>
      <c r="G176" s="312">
        <v>0</v>
      </c>
      <c r="H176" s="312">
        <v>0</v>
      </c>
      <c r="I176" s="312">
        <v>0</v>
      </c>
      <c r="J176" s="312">
        <v>0</v>
      </c>
      <c r="K176" s="312">
        <v>0</v>
      </c>
      <c r="L176" s="312">
        <v>0</v>
      </c>
      <c r="M176" s="312">
        <v>0</v>
      </c>
      <c r="N176" s="312">
        <v>0</v>
      </c>
      <c r="O176" s="312">
        <v>0</v>
      </c>
      <c r="P176" s="312">
        <v>0</v>
      </c>
      <c r="Q176" s="392">
        <f>SUM(Table859193[[#This Row],[Azure AD]:[Order Fulfillment]])</f>
        <v>0</v>
      </c>
      <c r="R176" s="395" t="s">
        <v>1328</v>
      </c>
      <c r="S176" s="7"/>
      <c r="T176" s="4"/>
    </row>
    <row r="177" spans="1:20" outlineLevel="1">
      <c r="A177" s="4"/>
      <c r="B177" s="4"/>
      <c r="C177" s="7"/>
      <c r="D177" s="674"/>
      <c r="E177" s="16" t="s">
        <v>790</v>
      </c>
      <c r="F177" s="16" t="s">
        <v>1329</v>
      </c>
      <c r="G177" s="312">
        <v>0</v>
      </c>
      <c r="H177" s="312">
        <v>0</v>
      </c>
      <c r="I177" s="312">
        <v>0</v>
      </c>
      <c r="J177" s="312">
        <v>0</v>
      </c>
      <c r="K177" s="312">
        <v>0</v>
      </c>
      <c r="L177" s="312">
        <v>0</v>
      </c>
      <c r="M177" s="312">
        <v>0</v>
      </c>
      <c r="N177" s="312">
        <v>0</v>
      </c>
      <c r="O177" s="312">
        <v>0</v>
      </c>
      <c r="P177" s="312">
        <v>0</v>
      </c>
      <c r="Q177" s="392">
        <f>SUM(Table859193[[#This Row],[Azure AD]:[Order Fulfillment]])</f>
        <v>0</v>
      </c>
      <c r="R177" s="395"/>
      <c r="S177" s="7"/>
      <c r="T177" s="4"/>
    </row>
    <row r="178" spans="1:20" outlineLevel="1">
      <c r="A178" s="4"/>
      <c r="B178" s="4"/>
      <c r="C178" s="7"/>
      <c r="D178" s="674"/>
      <c r="E178" s="16" t="s">
        <v>790</v>
      </c>
      <c r="F178" s="16" t="s">
        <v>732</v>
      </c>
      <c r="G178" s="312">
        <v>0</v>
      </c>
      <c r="H178" s="312">
        <v>0</v>
      </c>
      <c r="I178" s="312">
        <v>0</v>
      </c>
      <c r="J178" s="312">
        <v>0</v>
      </c>
      <c r="K178" s="312">
        <v>0</v>
      </c>
      <c r="L178" s="312">
        <v>0</v>
      </c>
      <c r="M178" s="312">
        <v>0</v>
      </c>
      <c r="N178" s="312">
        <v>0</v>
      </c>
      <c r="O178" s="312">
        <v>0</v>
      </c>
      <c r="P178" s="312">
        <v>0</v>
      </c>
      <c r="Q178" s="392">
        <f>SUM(Table859193[[#This Row],[Azure AD]:[Order Fulfillment]])</f>
        <v>0</v>
      </c>
      <c r="R178" s="395"/>
      <c r="S178" s="7"/>
      <c r="T178" s="4"/>
    </row>
    <row r="179" spans="1:20" outlineLevel="1">
      <c r="A179" s="4"/>
      <c r="B179" s="4"/>
      <c r="C179" s="7"/>
      <c r="D179" s="674"/>
      <c r="E179" s="16" t="s">
        <v>790</v>
      </c>
      <c r="F179" s="16" t="s">
        <v>119</v>
      </c>
      <c r="G179" s="312">
        <v>0</v>
      </c>
      <c r="H179" s="312">
        <v>0</v>
      </c>
      <c r="I179" s="312">
        <v>0</v>
      </c>
      <c r="J179" s="312">
        <v>0</v>
      </c>
      <c r="K179" s="312">
        <v>0</v>
      </c>
      <c r="L179" s="312">
        <v>0</v>
      </c>
      <c r="M179" s="312">
        <v>0</v>
      </c>
      <c r="N179" s="312">
        <v>0</v>
      </c>
      <c r="O179" s="312">
        <v>0</v>
      </c>
      <c r="P179" s="312">
        <v>0</v>
      </c>
      <c r="Q179" s="392">
        <f>SUM(Table859193[[#This Row],[Azure AD]:[Order Fulfillment]])</f>
        <v>0</v>
      </c>
      <c r="R179" s="395"/>
      <c r="S179" s="7"/>
      <c r="T179" s="4"/>
    </row>
    <row r="180" spans="1:20" outlineLevel="1">
      <c r="A180" s="4"/>
      <c r="B180" s="4"/>
      <c r="C180" s="7"/>
      <c r="D180" s="674"/>
      <c r="E180" s="16" t="s">
        <v>790</v>
      </c>
      <c r="F180" s="16" t="s">
        <v>400</v>
      </c>
      <c r="G180" s="312">
        <v>0</v>
      </c>
      <c r="H180" s="312">
        <v>0</v>
      </c>
      <c r="I180" s="312">
        <v>0</v>
      </c>
      <c r="J180" s="312">
        <v>0</v>
      </c>
      <c r="K180" s="312">
        <v>0</v>
      </c>
      <c r="L180" s="312">
        <v>0</v>
      </c>
      <c r="M180" s="312">
        <v>0</v>
      </c>
      <c r="N180" s="312">
        <v>0</v>
      </c>
      <c r="O180" s="312">
        <v>0</v>
      </c>
      <c r="P180" s="312">
        <v>0</v>
      </c>
      <c r="Q180" s="392">
        <f>SUM(Table859193[[#This Row],[Azure AD]:[Order Fulfillment]])</f>
        <v>0</v>
      </c>
      <c r="R180" s="395"/>
      <c r="S180" s="7"/>
      <c r="T180" s="4"/>
    </row>
    <row r="181" spans="1:20" outlineLevel="1">
      <c r="A181" s="4"/>
      <c r="B181" s="4"/>
      <c r="C181" s="7"/>
      <c r="D181" s="674"/>
      <c r="E181" s="16" t="s">
        <v>790</v>
      </c>
      <c r="F181" s="16" t="s">
        <v>1330</v>
      </c>
      <c r="G181" s="312">
        <v>0</v>
      </c>
      <c r="H181" s="312">
        <v>0</v>
      </c>
      <c r="I181" s="312">
        <v>0</v>
      </c>
      <c r="J181" s="312">
        <v>0</v>
      </c>
      <c r="K181" s="312">
        <v>0</v>
      </c>
      <c r="L181" s="312">
        <v>0</v>
      </c>
      <c r="M181" s="312">
        <v>0</v>
      </c>
      <c r="N181" s="312">
        <v>0</v>
      </c>
      <c r="O181" s="312">
        <v>0</v>
      </c>
      <c r="P181" s="312">
        <v>0</v>
      </c>
      <c r="Q181" s="392">
        <f>SUM(Table859193[[#This Row],[Azure AD]:[Order Fulfillment]])</f>
        <v>0</v>
      </c>
      <c r="R181" s="395" t="s">
        <v>1331</v>
      </c>
      <c r="S181" s="7"/>
      <c r="T181" s="4"/>
    </row>
    <row r="182" spans="1:20" outlineLevel="1">
      <c r="A182" s="4"/>
      <c r="B182" s="4"/>
      <c r="C182" s="7"/>
      <c r="D182" s="674"/>
      <c r="E182" s="16" t="s">
        <v>790</v>
      </c>
      <c r="F182" s="16" t="s">
        <v>1332</v>
      </c>
      <c r="G182" s="312">
        <v>0</v>
      </c>
      <c r="H182" s="312">
        <v>0</v>
      </c>
      <c r="I182" s="312">
        <v>0</v>
      </c>
      <c r="J182" s="312">
        <v>0</v>
      </c>
      <c r="K182" s="312">
        <v>0</v>
      </c>
      <c r="L182" s="312">
        <v>0</v>
      </c>
      <c r="M182" s="312">
        <v>0</v>
      </c>
      <c r="N182" s="312">
        <v>0</v>
      </c>
      <c r="O182" s="312">
        <v>0</v>
      </c>
      <c r="P182" s="312">
        <v>0</v>
      </c>
      <c r="Q182" s="392">
        <f>SUM(Table859193[[#This Row],[Azure AD]:[Order Fulfillment]])</f>
        <v>0</v>
      </c>
      <c r="R182" s="395"/>
      <c r="S182" s="7"/>
      <c r="T182" s="4"/>
    </row>
    <row r="183" spans="1:20" outlineLevel="1">
      <c r="A183" s="4"/>
      <c r="B183" s="4"/>
      <c r="C183" s="7"/>
      <c r="D183" s="674"/>
      <c r="E183" s="16" t="s">
        <v>790</v>
      </c>
      <c r="F183" s="16" t="s">
        <v>1333</v>
      </c>
      <c r="G183" s="312">
        <v>0</v>
      </c>
      <c r="H183" s="312">
        <v>0</v>
      </c>
      <c r="I183" s="312">
        <v>0</v>
      </c>
      <c r="J183" s="312">
        <v>0</v>
      </c>
      <c r="K183" s="312">
        <v>0</v>
      </c>
      <c r="L183" s="312">
        <v>0</v>
      </c>
      <c r="M183" s="312">
        <v>0</v>
      </c>
      <c r="N183" s="312">
        <v>0</v>
      </c>
      <c r="O183" s="312">
        <v>0</v>
      </c>
      <c r="P183" s="312">
        <v>0</v>
      </c>
      <c r="Q183" s="392">
        <f>SUM(Table859193[[#This Row],[Azure AD]:[Order Fulfillment]])</f>
        <v>0</v>
      </c>
      <c r="R183" s="395"/>
      <c r="S183" s="7"/>
      <c r="T183" s="4"/>
    </row>
    <row r="184" spans="1:20" outlineLevel="1">
      <c r="A184" s="4"/>
      <c r="B184" s="4"/>
      <c r="C184" s="7"/>
      <c r="D184" s="674"/>
      <c r="E184" s="16" t="s">
        <v>790</v>
      </c>
      <c r="F184" s="16" t="s">
        <v>1334</v>
      </c>
      <c r="G184" s="110">
        <v>25</v>
      </c>
      <c r="H184" s="110">
        <v>25</v>
      </c>
      <c r="I184" s="110">
        <v>25</v>
      </c>
      <c r="J184" s="110">
        <v>25</v>
      </c>
      <c r="K184" s="110">
        <v>25</v>
      </c>
      <c r="L184" s="110">
        <v>25</v>
      </c>
      <c r="M184" s="110">
        <v>25</v>
      </c>
      <c r="N184" s="110">
        <v>25</v>
      </c>
      <c r="O184" s="312">
        <v>0</v>
      </c>
      <c r="P184" s="312">
        <v>0</v>
      </c>
      <c r="Q184" s="392">
        <f>SUM(Table859193[[#This Row],[Azure AD]:[Order Fulfillment]])</f>
        <v>200</v>
      </c>
      <c r="R184" s="395"/>
      <c r="S184" s="7"/>
      <c r="T184" s="4"/>
    </row>
    <row r="185" spans="1:20" outlineLevel="1">
      <c r="A185" s="4"/>
      <c r="B185" s="4"/>
      <c r="C185" s="7"/>
      <c r="D185" s="675"/>
      <c r="E185" s="16"/>
      <c r="F185" s="324" t="s">
        <v>1335</v>
      </c>
      <c r="G185" s="323">
        <f>SUM(G174:G184)</f>
        <v>160</v>
      </c>
      <c r="H185" s="323">
        <f t="shared" ref="H185:Q185" si="0">SUM(H174:H184)</f>
        <v>125</v>
      </c>
      <c r="I185" s="323">
        <f t="shared" si="0"/>
        <v>2617.5</v>
      </c>
      <c r="J185" s="323">
        <f t="shared" si="0"/>
        <v>2733.3</v>
      </c>
      <c r="K185" s="323">
        <f t="shared" si="0"/>
        <v>191.08</v>
      </c>
      <c r="L185" s="323">
        <f t="shared" si="0"/>
        <v>10143.530000000001</v>
      </c>
      <c r="M185" s="323">
        <f t="shared" si="0"/>
        <v>1028.75</v>
      </c>
      <c r="N185" s="323">
        <f t="shared" si="0"/>
        <v>322.39</v>
      </c>
      <c r="O185" s="323">
        <f t="shared" si="0"/>
        <v>15000</v>
      </c>
      <c r="P185" s="323">
        <f t="shared" si="0"/>
        <v>15000</v>
      </c>
      <c r="Q185" s="393">
        <f t="shared" si="0"/>
        <v>47321.55</v>
      </c>
      <c r="R185" s="398"/>
      <c r="S185" s="7"/>
      <c r="T185" s="4"/>
    </row>
    <row r="186" spans="1:20" outlineLevel="1">
      <c r="A186" s="4"/>
      <c r="B186" s="4"/>
      <c r="C186" s="7"/>
      <c r="D186" s="176"/>
      <c r="E186" s="7"/>
      <c r="F186" s="172"/>
      <c r="G186" s="177"/>
      <c r="H186" s="177"/>
      <c r="I186" s="177"/>
      <c r="J186" s="177"/>
      <c r="K186" s="177"/>
      <c r="L186" s="177"/>
      <c r="M186" s="177"/>
      <c r="N186" s="177"/>
      <c r="O186" s="177"/>
      <c r="P186" s="177"/>
      <c r="Q186" s="177"/>
      <c r="R186" s="7"/>
      <c r="S186" s="7"/>
      <c r="T186" s="4"/>
    </row>
    <row r="187" spans="1:20" outlineLevel="1">
      <c r="A187" s="4"/>
      <c r="B187" s="4"/>
      <c r="C187" s="4"/>
      <c r="D187" s="219"/>
      <c r="E187" s="4"/>
      <c r="F187" s="220"/>
      <c r="G187" s="221"/>
      <c r="H187" s="221"/>
      <c r="I187" s="221"/>
      <c r="J187" s="221"/>
      <c r="K187" s="221"/>
      <c r="L187" s="221"/>
      <c r="M187" s="221"/>
      <c r="N187" s="221"/>
      <c r="O187" s="221"/>
      <c r="P187" s="221"/>
      <c r="Q187" s="221"/>
      <c r="R187" s="4"/>
      <c r="S187" s="4"/>
      <c r="T187" s="4"/>
    </row>
    <row r="188" spans="1:20" ht="18.600000000000001">
      <c r="A188" s="101"/>
      <c r="B188" s="101"/>
      <c r="C188" s="102" t="s">
        <v>78</v>
      </c>
      <c r="D188" s="102"/>
      <c r="E188" s="101"/>
      <c r="F188" s="101"/>
      <c r="G188" s="101"/>
      <c r="H188" s="101"/>
      <c r="I188" s="101"/>
      <c r="J188" s="101"/>
      <c r="K188" s="101"/>
      <c r="L188" s="101"/>
      <c r="M188" s="101"/>
      <c r="N188" s="101"/>
      <c r="O188" s="101"/>
      <c r="P188" s="101"/>
      <c r="Q188" s="103"/>
      <c r="R188" s="101"/>
      <c r="S188" s="101"/>
      <c r="T188" s="101"/>
    </row>
    <row r="189" spans="1:20" outlineLevel="1">
      <c r="A189" s="4"/>
      <c r="B189" s="4"/>
      <c r="C189" s="4"/>
      <c r="D189" s="4"/>
      <c r="E189" s="4"/>
      <c r="F189" s="4"/>
      <c r="G189" s="4"/>
      <c r="H189" s="4"/>
      <c r="I189" s="4"/>
      <c r="J189" s="4"/>
      <c r="K189" s="4"/>
      <c r="L189" s="4"/>
      <c r="M189" s="4"/>
      <c r="N189" s="4"/>
      <c r="O189" s="4"/>
      <c r="P189" s="4"/>
      <c r="Q189" s="8"/>
      <c r="R189" s="4"/>
      <c r="S189" s="4"/>
      <c r="T189" s="4"/>
    </row>
    <row r="190" spans="1:20" ht="16.350000000000001" customHeight="1" outlineLevel="1">
      <c r="A190" s="4"/>
      <c r="B190" s="4"/>
      <c r="C190" s="168">
        <v>1</v>
      </c>
      <c r="D190" s="380" t="s">
        <v>1336</v>
      </c>
      <c r="E190" s="7"/>
      <c r="F190" s="380"/>
      <c r="G190" s="380"/>
      <c r="H190" s="93"/>
      <c r="I190" s="93"/>
      <c r="J190" s="93"/>
      <c r="K190" s="93"/>
      <c r="L190" s="93"/>
      <c r="M190" s="93"/>
      <c r="N190" s="93"/>
      <c r="O190" s="93"/>
      <c r="P190" s="93"/>
      <c r="Q190" s="106"/>
      <c r="R190" s="93"/>
      <c r="S190" s="93"/>
      <c r="T190" s="21"/>
    </row>
    <row r="191" spans="1:20" ht="16.350000000000001" customHeight="1" outlineLevel="1">
      <c r="A191" s="4"/>
      <c r="B191" s="4"/>
      <c r="C191" s="169">
        <v>2</v>
      </c>
      <c r="D191" s="93" t="s">
        <v>1337</v>
      </c>
      <c r="E191" s="7"/>
      <c r="F191" s="93"/>
      <c r="G191" s="93"/>
      <c r="H191" s="70"/>
      <c r="I191" s="7"/>
      <c r="J191" s="7"/>
      <c r="K191" s="7"/>
      <c r="L191" s="7"/>
      <c r="M191" s="7"/>
      <c r="N191" s="7"/>
      <c r="O191" s="7"/>
      <c r="P191" s="7"/>
      <c r="Q191" s="54"/>
      <c r="R191" s="7"/>
      <c r="S191" s="7"/>
      <c r="T191" s="4"/>
    </row>
    <row r="192" spans="1:20" ht="16.5" outlineLevel="1">
      <c r="A192" s="4"/>
      <c r="B192" s="4"/>
      <c r="C192" s="169">
        <v>3</v>
      </c>
      <c r="D192" s="93" t="s">
        <v>1338</v>
      </c>
      <c r="E192" s="7"/>
      <c r="F192" s="7"/>
      <c r="G192" s="7"/>
      <c r="H192" s="70"/>
      <c r="I192" s="7"/>
      <c r="J192" s="7"/>
      <c r="K192" s="7"/>
      <c r="L192" s="7"/>
      <c r="M192" s="7"/>
      <c r="N192" s="7"/>
      <c r="O192" s="7"/>
      <c r="P192" s="7"/>
      <c r="Q192" s="54"/>
      <c r="R192" s="7"/>
      <c r="S192" s="7"/>
      <c r="T192" s="4"/>
    </row>
    <row r="193" spans="1:20" ht="16.5" outlineLevel="1">
      <c r="A193" s="4"/>
      <c r="B193" s="4"/>
      <c r="C193" s="169">
        <v>4</v>
      </c>
      <c r="D193" s="70" t="s">
        <v>1339</v>
      </c>
      <c r="E193" s="7"/>
      <c r="F193" s="7"/>
      <c r="G193" s="7"/>
      <c r="H193" s="7"/>
      <c r="I193" s="7"/>
      <c r="J193" s="7"/>
      <c r="K193" s="7"/>
      <c r="L193" s="7"/>
      <c r="M193" s="7"/>
      <c r="N193" s="7"/>
      <c r="O193" s="7"/>
      <c r="P193" s="7"/>
      <c r="Q193" s="7"/>
      <c r="R193" s="7"/>
      <c r="S193" s="7"/>
      <c r="T193" s="4"/>
    </row>
    <row r="194" spans="1:20">
      <c r="A194" s="4"/>
      <c r="B194" s="4"/>
      <c r="C194" s="4"/>
      <c r="D194" s="4"/>
      <c r="E194" s="4"/>
      <c r="F194" s="4"/>
      <c r="G194" s="4"/>
      <c r="H194" s="4"/>
      <c r="I194" s="4"/>
      <c r="J194" s="4"/>
      <c r="K194" s="4"/>
      <c r="L194" s="4"/>
      <c r="M194" s="4"/>
      <c r="N194" s="4"/>
      <c r="O194" s="4"/>
      <c r="P194" s="4"/>
      <c r="Q194" s="4"/>
      <c r="R194" s="4"/>
      <c r="S194" s="4"/>
      <c r="T194" s="4"/>
    </row>
    <row r="195" spans="1:20" ht="13.7" hidden="1" customHeight="1"/>
  </sheetData>
  <mergeCells count="17">
    <mergeCell ref="O2:S2"/>
    <mergeCell ref="C3:N3"/>
    <mergeCell ref="O3:S3"/>
    <mergeCell ref="E17:G17"/>
    <mergeCell ref="D57:E57"/>
    <mergeCell ref="D98:D117"/>
    <mergeCell ref="D65:D97"/>
    <mergeCell ref="D60:E60"/>
    <mergeCell ref="D174:D185"/>
    <mergeCell ref="C2:N2"/>
    <mergeCell ref="D58:E58"/>
    <mergeCell ref="D59:E59"/>
    <mergeCell ref="D159:D173"/>
    <mergeCell ref="D134:D147"/>
    <mergeCell ref="D128:D133"/>
    <mergeCell ref="D118:D127"/>
    <mergeCell ref="D148:D158"/>
  </mergeCells>
  <phoneticPr fontId="1" type="noConversion"/>
  <conditionalFormatting sqref="F57:F62">
    <cfRule type="iconSet" priority="685">
      <iconSet iconSet="4TrafficLights" showValue="0">
        <cfvo type="percent" val="0"/>
        <cfvo type="percent" val="25"/>
        <cfvo type="percent" val="50"/>
        <cfvo type="percent" val="75"/>
      </iconSet>
    </cfRule>
  </conditionalFormatting>
  <conditionalFormatting sqref="G81:P81">
    <cfRule type="beginsWith" dxfId="1723" priority="103" operator="beginsWith" text="Zonal">
      <formula>LEFT(G81,LEN("Zonal"))="Zonal"</formula>
    </cfRule>
    <cfRule type="beginsWith" dxfId="1722" priority="104" operator="beginsWith" text="Zone redundant">
      <formula>LEFT(G81,LEN("Zone redundant"))="Zone redundant"</formula>
    </cfRule>
    <cfRule type="containsText" dxfId="1721" priority="105" operator="containsText" text="Always">
      <formula>NOT(ISERROR(SEARCH("Always",G81)))</formula>
    </cfRule>
    <cfRule type="beginsWith" dxfId="1720" priority="102" operator="beginsWith" text="Zonal/">
      <formula>LEFT(G81,LEN("Zonal/"))="Zonal/"</formula>
    </cfRule>
  </conditionalFormatting>
  <conditionalFormatting sqref="G82:P82">
    <cfRule type="containsText" dxfId="1719" priority="101" operator="containsText" text="Always">
      <formula>NOT(ISERROR(SEARCH("Always",G82)))</formula>
    </cfRule>
    <cfRule type="containsText" dxfId="1718" priority="99" operator="containsText" text="Mainstream">
      <formula>NOT(ISERROR(SEARCH("Mainstream",G82)))</formula>
    </cfRule>
    <cfRule type="containsText" dxfId="1717" priority="98" operator="containsText" text="Strategic">
      <formula>NOT(ISERROR(SEARCH("Strategic",G82)))</formula>
    </cfRule>
    <cfRule type="containsText" dxfId="1716" priority="100" operator="containsText" text="Foundational">
      <formula>NOT(ISERROR(SEARCH("Foundational",G82)))</formula>
    </cfRule>
  </conditionalFormatting>
  <conditionalFormatting sqref="G65:Q65">
    <cfRule type="iconSet" priority="15">
      <iconSet iconSet="4TrafficLights" showValue="0" reverse="1">
        <cfvo type="percent" val="0"/>
        <cfvo type="num" val="1" gte="0"/>
        <cfvo type="num" val="2" gte="0"/>
        <cfvo type="num" val="3" gte="0"/>
      </iconSet>
    </cfRule>
  </conditionalFormatting>
  <conditionalFormatting sqref="G72:Q75 G71:H71 G70:Q70 G77:Q77">
    <cfRule type="iconSet" priority="107">
      <iconSet iconSet="4TrafficLights" showValue="0" reverse="1">
        <cfvo type="percent" val="0"/>
        <cfvo type="num" val="1" gte="0"/>
        <cfvo type="num" val="2" gte="0"/>
        <cfvo type="num" val="3" gte="0"/>
      </iconSet>
    </cfRule>
  </conditionalFormatting>
  <conditionalFormatting sqref="G83:Q83">
    <cfRule type="iconSet" priority="2">
      <iconSet iconSet="4TrafficLights" showValue="0" reverse="1">
        <cfvo type="percent" val="0"/>
        <cfvo type="num" val="1" gte="0"/>
        <cfvo type="num" val="2" gte="0"/>
        <cfvo type="num" val="3" gte="0"/>
      </iconSet>
    </cfRule>
  </conditionalFormatting>
  <conditionalFormatting sqref="G85:Q85">
    <cfRule type="iconSet" priority="3">
      <iconSet iconSet="4TrafficLights" showValue="0" reverse="1">
        <cfvo type="percent" val="0"/>
        <cfvo type="num" val="1" gte="0"/>
        <cfvo type="num" val="2" gte="0"/>
        <cfvo type="num" val="3" gte="0"/>
      </iconSet>
    </cfRule>
  </conditionalFormatting>
  <conditionalFormatting sqref="G88:Q88">
    <cfRule type="iconSet" priority="1">
      <iconSet iconSet="4TrafficLights" showValue="0" reverse="1">
        <cfvo type="percent" val="0"/>
        <cfvo type="num" val="1" gte="0"/>
        <cfvo type="num" val="2" gte="0"/>
        <cfvo type="num" val="3" gte="0"/>
      </iconSet>
    </cfRule>
  </conditionalFormatting>
  <conditionalFormatting sqref="G89:Q173">
    <cfRule type="iconSet" priority="696">
      <iconSet iconSet="4TrafficLights" showValue="0" reverse="1">
        <cfvo type="percent" val="0"/>
        <cfvo type="num" val="1" gte="0"/>
        <cfvo type="num" val="2" gte="0"/>
        <cfvo type="num" val="3" gte="0"/>
      </iconSet>
    </cfRule>
  </conditionalFormatting>
  <conditionalFormatting sqref="I71:Q71">
    <cfRule type="iconSet" priority="106">
      <iconSet iconSet="4TrafficLights" showValue="0" reverse="1">
        <cfvo type="percent" val="0"/>
        <cfvo type="num" val="1" gte="0"/>
        <cfvo type="num" val="2" gte="0"/>
        <cfvo type="num" val="3" gte="0"/>
      </iconSet>
    </cfRule>
  </conditionalFormatting>
  <conditionalFormatting sqref="Q79:Q82 Q67 Q86:Q87 Q84">
    <cfRule type="iconSet" priority="108">
      <iconSet iconSet="4TrafficLights" showValue="0">
        <cfvo type="percent" val="0"/>
        <cfvo type="percent" val="25"/>
        <cfvo type="percent" val="50"/>
        <cfvo type="percent" val="75"/>
      </iconSet>
    </cfRule>
  </conditionalFormatting>
  <dataValidations disablePrompts="1" count="4">
    <dataValidation allowBlank="1" showInputMessage="1" showErrorMessage="1" promptTitle="Breakdown" prompt="1 * Professional Direct Support @ USD1,000_x000a_(proportioned over all applications)" sqref="G184:N184" xr:uid="{3885A1F0-E416-433A-A346-3969B62F46FD}"/>
    <dataValidation allowBlank="1" showInputMessage="1" showErrorMessage="1" promptTitle="Breakdown" prompt="4x Daily message units * 730 hours" sqref="J174" xr:uid="{163D44F2-9BA2-4F19-ACC3-F373F506BEA2}"/>
    <dataValidation allowBlank="1" showInputMessage="1" showErrorMessage="1" promptTitle="Breakdown" prompt="15 * Premium P2 User Licenses @ USD9.00" sqref="G174" xr:uid="{5100DA48-2DE4-438C-B453-F710B6B1FC4C}"/>
    <dataValidation allowBlank="1" showInputMessage="1" showErrorMessage="1" prompt="Includes Azure Site Recovery and any Azure services that support replication to another region for recovery purposes." sqref="F123" xr:uid="{76CC6166-A738-409A-8886-F52F1F133968}"/>
  </dataValidations>
  <hyperlinks>
    <hyperlink ref="E23" r:id="rId1" display="https://learn.microsoft.com/en-us/azure/architecture/web-apps/app-service/architectures/multi-region" xr:uid="{9D270C20-6CC8-48F4-B4F2-336A8A2DC3DC}"/>
    <hyperlink ref="D44" r:id="rId2" display="12. Each data center in a region is assigned to a physical zone. Physical zones are mapped to the logical zones in an Azure subscription. Azure subscriptions are automatically assigned this mapping at the time a subscription is created. For any zonal service, consider co-location of services via the ARM REST API, listLocations to list the logical zone mapping." xr:uid="{58ECBD72-2D53-480E-A214-21599E542E15}"/>
    <hyperlink ref="D53" r:id="rId3" display="15. The licensing, consumption and support cost of each service with any existing availability, recoverability, chaos engineering, load testing and the cost of continuity drills seperated out." xr:uid="{0BD7E702-5DDB-4FE2-8795-E2D67930F5C4}"/>
    <hyperlink ref="D45" r:id="rId4" display="8. The security baseline for the service along with the Azure Defenses for Ransomware Attack." xr:uid="{16A27187-3F71-4CC7-A6FC-323A3DD5A523}"/>
    <hyperlink ref="D51" r:id="rId5" location="continuous-validation-and-testing" display="14. If Continuous Validation and Testing activities are sufficient and meet requirements e.g., are they automated, does it test functionality as well as load and capacity, are test plans documented, do results enter a feedback and improvement loop with awareness for key stakeholders?" xr:uid="{E377C9A5-49A6-4B90-95BD-A334F141F972}"/>
    <hyperlink ref="D52" r:id="rId6" display="14.1 If the service is currently supported by Azure Chaos Studio by checking the Fault and Action library." xr:uid="{A583E5DD-D342-46C3-947F-34DC13D717E5}"/>
    <hyperlink ref="F150" r:id="rId7" location="im-8-restrict-the-exposure-of-credentials-and-secrets" xr:uid="{F9911952-F285-4964-A00F-A1447186F974}"/>
    <hyperlink ref="F149" r:id="rId8" location="ns-5-deploy-ddos-protection" xr:uid="{43D909E1-C9D2-4CCC-9EFB-CB5A9B3B5F9F}"/>
    <hyperlink ref="F151" r:id="rId9" location="pa-8-determine-access-process-for-cloud-provider-support" xr:uid="{469AF6C5-D6B5-41D4-BBD5-1C82666ACDF2}"/>
    <hyperlink ref="F152" r:id="rId10" xr:uid="{2416078B-2702-4F5A-8547-AD4F16C9CCC9}"/>
    <hyperlink ref="F153" r:id="rId11" location="lt-1-enable-threat-detection-capabilities" xr:uid="{62942065-97C0-4D64-BA17-DF4A50EB1875}"/>
    <hyperlink ref="F154" r:id="rId12" location="lt-1-enable-threat-detection-capabilities" xr:uid="{A59CA91C-03D2-4816-A75E-8262641CDA2A}"/>
    <hyperlink ref="F155" r:id="rId13" location="pv-6-rapidly-and-automatically-remediate-vulnerabilities" xr:uid="{1CFE671C-1DCC-488D-9585-DDCAEC8B547F}"/>
    <hyperlink ref="F156" r:id="rId14" location="br-2-protect-backup-and-recovery-data" display="Backup and Recovery: Protect Backup and Recovery Data - Ransomware and rogue admin scenario mitigation by using multi-user authorization for Azure Backup to help add a layer of authorization for critical backup operations like policy modifications, disabling soft delete, and vault deletions." xr:uid="{A809C243-1F83-4115-940E-8ADCA1DD9DAD}"/>
    <hyperlink ref="G68" r:id="rId15" display="https://www.microsoft.com/licensing/docs/view/Service-Level-Agreements-SLA-for-Online-Services?lang=1&amp;year=2023" xr:uid="{5FFC01E0-0AB8-443E-8144-A638CAA92D2D}"/>
    <hyperlink ref="H68" r:id="rId16" display="https://www.microsoft.com/licensing/docs/view/Service-Level-Agreements-SLA-for-Online-Services?lang=1&amp;year=2023" xr:uid="{B6242BA1-425B-4B4F-89F5-F6E849CFB36F}"/>
    <hyperlink ref="I68" r:id="rId17" display="https://www.microsoft.com/licensing/docs/view/Service-Level-Agreements-SLA-for-Online-Services?lang=1&amp;year=2023" xr:uid="{B41D777E-57C9-491B-B44A-597A387FDB41}"/>
    <hyperlink ref="J68" r:id="rId18" display="https://www.microsoft.com/licensing/docs/view/Service-Level-Agreements-SLA-for-Online-Services?lang=1&amp;year=2023" xr:uid="{ACD10281-9329-4003-A575-0984E233C4A5}"/>
    <hyperlink ref="K68" r:id="rId19" display="https://www.microsoft.com/licensing/docs/view/Service-Level-Agreements-SLA-for-Online-Services?lang=1&amp;year=2023" xr:uid="{F634DCDC-59E5-44CF-A136-9FEFC4D58663}"/>
    <hyperlink ref="L68" r:id="rId20" display="https://www.microsoft.com/licensing/docs/view/Service-Level-Agreements-SLA-for-Online-Services?lang=1&amp;year=2023" xr:uid="{8138A1E1-F688-4D46-A283-EB6C4AE7ED81}"/>
    <hyperlink ref="M68" r:id="rId21" display="https://www.microsoft.com/licensing/docs/view/Service-Level-Agreements-SLA-for-Online-Services?lang=1&amp;year=2023" xr:uid="{452C2227-D609-435B-A1B5-7C57434E2245}"/>
    <hyperlink ref="N68" r:id="rId22" display="https://www.microsoft.com/licensing/docs/view/Service-Level-Agreements-SLA-for-Online-Services?lang=1&amp;year=2023" xr:uid="{7CAB0442-8832-4031-9DBD-2C43234EBFB4}"/>
    <hyperlink ref="G87" r:id="rId23" display="https://learn.microsoft.com/en-us/security/benchmark/azure/mcsb-identity-management" xr:uid="{F6D9A9EC-0B6D-409B-8199-2401467484BB}"/>
    <hyperlink ref="H87" r:id="rId24" display="https://learn.microsoft.com/en-us/security/benchmark/azure/baselines/azure-dns-security-baseline" xr:uid="{402C2973-A87F-4D7B-A473-CA46A3CEF21C}"/>
    <hyperlink ref="I87" r:id="rId25" display="https://learn.microsoft.com/en-us/security/benchmark/azure/baselines/app-service-security-baseline" xr:uid="{2DE7720F-3250-46D6-A490-FEFA32C006CA}"/>
    <hyperlink ref="J87" r:id="rId26" display="https://learn.microsoft.com/en-us/security/benchmark/azure/baselines/service-bus-security-baseline" xr:uid="{C75917E5-0057-4AAE-B56B-E285135EF740}"/>
    <hyperlink ref="K87" r:id="rId27" display="https://learn.microsoft.com/en-us/security/benchmark/azure/baselines/functions-security-baseline" xr:uid="{34CBCF80-E390-4476-BA41-C90CCA6C86D3}"/>
    <hyperlink ref="L87" r:id="rId28" display="https://learn.microsoft.com/en-us/security/benchmark/azure/baselines/azure-cache-for-redis-security-baseline?toc=%2Fazure%2Fazure-cache-for-redis%2FTOC.json" xr:uid="{D01670F6-FAD8-40BA-BAB9-ED080974ABFB}"/>
    <hyperlink ref="M87" r:id="rId29" display="https://learn.microsoft.com/en-us/security/benchmark/azure/baselines/azure-sql-security-baseline" xr:uid="{C331F814-5F27-4F11-BE26-E1DEE934ECD1}"/>
    <hyperlink ref="N87" r:id="rId30" display="https://learn.microsoft.com/en-us/security/benchmark/azure/baselines/azure-cosmos-db-security-baseline" xr:uid="{7F25632F-D5ED-4F1F-A33A-DFBD0D8501B0}"/>
    <hyperlink ref="D190:G190" r:id="rId31" display="Refer to the most recent SLA publication for up-to-date information." xr:uid="{BF8DFED4-8FBB-41CA-96F6-A99856EC9E7E}"/>
    <hyperlink ref="D191:G191" r:id="rId32" display="Refer to the most recent resiliency and regional availability categories." xr:uid="{1ACEFCA4-99C8-49FC-A669-CD7379F1CD99}"/>
    <hyperlink ref="D192" r:id="rId33" display="Refer to current pricing." xr:uid="{4714A571-34A7-4E15-8ACD-B2B2AF36AC97}"/>
    <hyperlink ref="D41" r:id="rId34" display="6. The resiliency and regional availability category for any Azure services." xr:uid="{27AAE4BB-9262-430A-8998-5C600A7F941F}"/>
    <hyperlink ref="F157" r:id="rId35" location="br-2-protect-backup-and-recovery-data" xr:uid="{B2AFD2E6-2294-4225-AE6E-FC2A5797B459}"/>
    <hyperlink ref="D193" location="'1B Requirements'!A1" display="Categories and requirement identifiers map back to the requirements template." xr:uid="{B7925E7F-12B1-4A2E-A987-3622A58FF397}"/>
  </hyperlinks>
  <pageMargins left="0.7" right="0.7" top="0.75" bottom="0.75" header="0.3" footer="0.3"/>
  <pageSetup orientation="portrait" r:id="rId36"/>
  <drawing r:id="rId37"/>
  <tableParts count="1">
    <tablePart r:id="rId38"/>
  </tableParts>
  <extLst>
    <ext xmlns:x14="http://schemas.microsoft.com/office/spreadsheetml/2009/9/main" uri="{78C0D931-6437-407d-A8EE-F0AAD7539E65}">
      <x14:conditionalFormattings>
        <x14:conditionalFormatting xmlns:xm="http://schemas.microsoft.com/office/excel/2006/main">
          <x14:cfRule type="cellIs" priority="114" operator="equal" id="{283AEF79-A950-4975-9D83-3A6A2FBC628C}">
            <xm:f>Data!$L$6</xm:f>
            <x14:dxf>
              <font>
                <color theme="0"/>
              </font>
              <fill>
                <patternFill>
                  <bgColor rgb="FFF25022"/>
                </patternFill>
              </fill>
            </x14:dxf>
          </x14:cfRule>
          <x14:cfRule type="cellIs" priority="113" operator="equal" id="{D8E6C08C-9774-4874-9689-1450EEDF0786}">
            <xm:f>Data!$L$10</xm:f>
            <x14:dxf>
              <font>
                <color theme="0"/>
              </font>
              <fill>
                <patternFill>
                  <bgColor rgb="FFF25022"/>
                </patternFill>
              </fill>
            </x14:dxf>
          </x14:cfRule>
          <x14:cfRule type="cellIs" priority="112" operator="equal" id="{A745873D-BB10-4305-8087-45018CA29205}">
            <xm:f>Data!$L$11</xm:f>
            <x14:dxf>
              <font>
                <color theme="0"/>
              </font>
              <fill>
                <patternFill>
                  <bgColor rgb="FFF25022"/>
                </patternFill>
              </fill>
            </x14:dxf>
          </x14:cfRule>
          <x14:cfRule type="cellIs" priority="111" operator="equal" id="{A3B807C0-6309-4744-B08F-FAEAFA5C977D}">
            <xm:f>Data!$L$12</xm:f>
            <x14:dxf>
              <font>
                <color theme="0"/>
              </font>
              <fill>
                <patternFill>
                  <bgColor rgb="FFF25022"/>
                </patternFill>
              </fill>
            </x14:dxf>
          </x14:cfRule>
          <x14:cfRule type="cellIs" priority="110" operator="equal" id="{83FA9BED-7E1C-442E-B2B6-02133E11F39A}">
            <xm:f>Data!$L$13</xm:f>
            <x14:dxf>
              <font>
                <color theme="0"/>
              </font>
              <fill>
                <patternFill>
                  <bgColor rgb="FFF25022"/>
                </patternFill>
              </fill>
            </x14:dxf>
          </x14:cfRule>
          <x14:cfRule type="cellIs" priority="115" operator="equal" id="{EDF07DAC-D3C6-4811-8C0D-87A00115CC99}">
            <xm:f>Data!$L$9</xm:f>
            <x14:dxf>
              <font>
                <color theme="1"/>
              </font>
              <fill>
                <patternFill>
                  <bgColor rgb="FF7FBA00"/>
                </patternFill>
              </fill>
            </x14:dxf>
          </x14:cfRule>
          <x14:cfRule type="cellIs" priority="116" operator="equal" id="{EDAFA3E0-99CB-4D6C-8735-055DE5106349}">
            <xm:f>Data!$L$8</xm:f>
            <x14:dxf>
              <font>
                <color theme="1"/>
              </font>
              <fill>
                <patternFill>
                  <bgColor rgb="FF00A4EF"/>
                </patternFill>
              </fill>
            </x14:dxf>
          </x14:cfRule>
          <x14:cfRule type="cellIs" priority="117" operator="equal" id="{18762624-4AB1-4828-A38A-DF963F97DF1F}">
            <xm:f>Data!$L$7</xm:f>
            <x14:dxf>
              <font>
                <color theme="1"/>
              </font>
              <fill>
                <patternFill>
                  <bgColor rgb="FFFFB900"/>
                </patternFill>
              </fill>
            </x14:dxf>
          </x14:cfRule>
          <x14:cfRule type="cellIs" priority="118" operator="equal" id="{3E67D78D-DDF2-43B5-A88B-60B1155C7DB9}">
            <xm:f>Data!$L$5</xm:f>
            <x14:dxf>
              <font>
                <color theme="0"/>
              </font>
              <fill>
                <patternFill>
                  <bgColor rgb="FFF25022"/>
                </patternFill>
              </fill>
            </x14:dxf>
          </x14:cfRule>
          <x14:cfRule type="cellIs" priority="119" operator="equal" id="{D3A4B4AA-2152-4491-AC47-5BA679866F99}">
            <xm:f>Data!$L$6+Data!$L$14</xm:f>
            <x14:dxf>
              <font>
                <color theme="0"/>
              </font>
              <fill>
                <patternFill>
                  <bgColor rgb="FF747474"/>
                </patternFill>
              </fill>
            </x14:dxf>
          </x14:cfRule>
          <xm:sqref>E16:E17</xm:sqref>
        </x14:conditionalFormatting>
        <x14:conditionalFormatting xmlns:xm="http://schemas.microsoft.com/office/excel/2006/main">
          <x14:cfRule type="cellIs" priority="5" operator="equal" id="{6F645A0E-15A6-4EE4-B750-594B0FEC4921}">
            <xm:f>Data!$L$13</xm:f>
            <x14:dxf>
              <font>
                <color theme="0"/>
              </font>
              <fill>
                <patternFill>
                  <bgColor rgb="FFF25022"/>
                </patternFill>
              </fill>
            </x14:dxf>
          </x14:cfRule>
          <x14:cfRule type="cellIs" priority="6" operator="equal" id="{5D9F1EDE-E1CA-4C68-8933-9CBF1C87C108}">
            <xm:f>Data!$L$12</xm:f>
            <x14:dxf>
              <font>
                <color theme="0"/>
              </font>
              <fill>
                <patternFill>
                  <bgColor rgb="FFF25022"/>
                </patternFill>
              </fill>
            </x14:dxf>
          </x14:cfRule>
          <x14:cfRule type="cellIs" priority="7" operator="equal" id="{42802A3A-65D5-486B-A85E-8127063D521F}">
            <xm:f>Data!$L$11</xm:f>
            <x14:dxf>
              <font>
                <color theme="0"/>
              </font>
              <fill>
                <patternFill>
                  <bgColor rgb="FFF25022"/>
                </patternFill>
              </fill>
            </x14:dxf>
          </x14:cfRule>
          <x14:cfRule type="cellIs" priority="8" operator="equal" id="{E26D68CA-A81E-447E-B061-6EFCB3522389}">
            <xm:f>Data!$L$10</xm:f>
            <x14:dxf>
              <font>
                <color theme="0"/>
              </font>
              <fill>
                <patternFill>
                  <bgColor rgb="FFF25022"/>
                </patternFill>
              </fill>
            </x14:dxf>
          </x14:cfRule>
          <x14:cfRule type="cellIs" priority="9" operator="equal" id="{13B5C542-98AE-4E09-8A42-7B4783D42BF8}">
            <xm:f>Data!$L$6</xm:f>
            <x14:dxf>
              <font>
                <color theme="0"/>
              </font>
              <fill>
                <patternFill>
                  <bgColor rgb="FFF25022"/>
                </patternFill>
              </fill>
            </x14:dxf>
          </x14:cfRule>
          <x14:cfRule type="cellIs" priority="10" operator="equal" id="{497AB9C5-12F2-46B9-BEEF-E48C36412803}">
            <xm:f>Data!$L$9</xm:f>
            <x14:dxf>
              <font>
                <color theme="1"/>
              </font>
              <fill>
                <patternFill>
                  <bgColor rgb="FF7FBA00"/>
                </patternFill>
              </fill>
            </x14:dxf>
          </x14:cfRule>
          <x14:cfRule type="cellIs" priority="11" operator="equal" id="{495F24C4-2E39-4ECC-B071-6FA52C002126}">
            <xm:f>Data!$L$8</xm:f>
            <x14:dxf>
              <font>
                <color theme="1"/>
              </font>
              <fill>
                <patternFill>
                  <bgColor rgb="FF00A4EF"/>
                </patternFill>
              </fill>
            </x14:dxf>
          </x14:cfRule>
          <x14:cfRule type="cellIs" priority="12" operator="equal" id="{B0293310-F2DA-4AAC-987A-2BDF27660731}">
            <xm:f>Data!$L$7</xm:f>
            <x14:dxf>
              <font>
                <color theme="1"/>
              </font>
              <fill>
                <patternFill>
                  <bgColor rgb="FFFFB900"/>
                </patternFill>
              </fill>
            </x14:dxf>
          </x14:cfRule>
          <x14:cfRule type="cellIs" priority="13" operator="equal" id="{BCB58D18-F8CE-49B8-8EB4-C6BBD31C22DE}">
            <xm:f>Data!$L$5</xm:f>
            <x14:dxf>
              <font>
                <color theme="0"/>
              </font>
              <fill>
                <patternFill>
                  <bgColor rgb="FFF25022"/>
                </patternFill>
              </fill>
            </x14:dxf>
          </x14:cfRule>
          <x14:cfRule type="cellIs" priority="14" operator="equal" id="{21296C8C-6171-4D3F-AF0E-97637D8F04B9}">
            <xm:f>Data!$L$6+Data!$L$14</xm:f>
            <x14:dxf>
              <font>
                <color theme="0"/>
              </font>
              <fill>
                <patternFill>
                  <bgColor rgb="FF747474"/>
                </patternFill>
              </fill>
            </x14:dxf>
          </x14:cfRule>
          <xm:sqref>G66:P66</xm:sqref>
        </x14:conditionalFormatting>
      </x14:conditionalFormattings>
    </ext>
    <ext xmlns:x14="http://schemas.microsoft.com/office/spreadsheetml/2009/9/main" uri="{CCE6A557-97BC-4b89-ADB6-D9C93CAAB3DF}">
      <x14:dataValidations xmlns:xm="http://schemas.microsoft.com/office/excel/2006/main" disablePrompts="1" count="2">
        <x14:dataValidation type="list" allowBlank="1" showInputMessage="1" showErrorMessage="1" xr:uid="{A7AD0983-9564-4191-A1D3-830DE374BFF2}">
          <x14:formula1>
            <xm:f>Data!$L$24:$L$28</xm:f>
          </x14:formula1>
          <xm:sqref>G82:P82</xm:sqref>
        </x14:dataValidation>
        <x14:dataValidation type="list" allowBlank="1" showInputMessage="1" showErrorMessage="1" xr:uid="{16441187-D294-4F7A-9CED-7940CBAB6FFE}">
          <x14:formula1>
            <xm:f>Data!$L$17:$L$21</xm:f>
          </x14:formula1>
          <xm:sqref>G81:P81</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1E9734-5352-4C2E-9061-DF8D00E83CA1}">
  <sheetPr>
    <tabColor rgb="FF7FBA00"/>
  </sheetPr>
  <dimension ref="A1:R158"/>
  <sheetViews>
    <sheetView showGridLines="0" showRowColHeaders="0" zoomScale="85" zoomScaleNormal="85" workbookViewId="0">
      <selection activeCell="A6" sqref="A6"/>
    </sheetView>
  </sheetViews>
  <sheetFormatPr defaultColWidth="0" defaultRowHeight="14.45" zeroHeight="1" outlineLevelRow="1"/>
  <cols>
    <col min="1" max="2" width="5.85546875" customWidth="1"/>
    <col min="3" max="3" width="11.42578125" bestFit="1" customWidth="1"/>
    <col min="4" max="4" width="33.85546875" customWidth="1"/>
    <col min="5" max="5" width="15.140625" bestFit="1" customWidth="1"/>
    <col min="6" max="6" width="23.42578125" bestFit="1" customWidth="1"/>
    <col min="7" max="7" width="24.42578125" bestFit="1" customWidth="1"/>
    <col min="8" max="9" width="26.85546875" bestFit="1" customWidth="1"/>
    <col min="10" max="10" width="26.42578125" bestFit="1" customWidth="1"/>
    <col min="11" max="12" width="28.85546875" bestFit="1" customWidth="1"/>
    <col min="13" max="13" width="19" bestFit="1" customWidth="1"/>
    <col min="14" max="16" width="17.85546875" customWidth="1"/>
    <col min="17" max="17" width="8.85546875" customWidth="1"/>
    <col min="18" max="18" width="3.85546875" customWidth="1"/>
    <col min="19" max="16384" width="8.85546875" hidden="1"/>
  </cols>
  <sheetData>
    <row r="1" spans="1:18">
      <c r="A1" s="4"/>
      <c r="B1" s="4"/>
      <c r="C1" s="4"/>
      <c r="D1" s="4"/>
      <c r="E1" s="4"/>
      <c r="F1" s="4"/>
      <c r="G1" s="4"/>
      <c r="H1" s="4"/>
      <c r="I1" s="4"/>
      <c r="J1" s="4"/>
      <c r="K1" s="4"/>
      <c r="L1" s="4"/>
      <c r="M1" s="4"/>
      <c r="N1" s="4"/>
      <c r="O1" s="4"/>
      <c r="P1" s="4"/>
      <c r="Q1" s="4"/>
      <c r="R1" s="4"/>
    </row>
    <row r="2" spans="1:18" ht="21">
      <c r="A2" s="4"/>
      <c r="B2" s="4"/>
      <c r="C2" s="618" t="s">
        <v>1340</v>
      </c>
      <c r="D2" s="618"/>
      <c r="E2" s="618"/>
      <c r="F2" s="618"/>
      <c r="G2" s="618"/>
      <c r="H2" s="618"/>
      <c r="I2" s="618"/>
      <c r="J2" s="618"/>
      <c r="K2" s="618"/>
      <c r="L2" s="618"/>
      <c r="M2" s="618"/>
      <c r="N2" s="618"/>
      <c r="O2" s="618"/>
      <c r="P2" s="181"/>
      <c r="Q2" s="181"/>
      <c r="R2" s="4"/>
    </row>
    <row r="3" spans="1:18">
      <c r="A3" s="4"/>
      <c r="B3" s="4"/>
      <c r="C3" s="646" t="s">
        <v>1341</v>
      </c>
      <c r="D3" s="646"/>
      <c r="E3" s="646"/>
      <c r="F3" s="646"/>
      <c r="G3" s="646"/>
      <c r="H3" s="646"/>
      <c r="I3" s="646"/>
      <c r="J3" s="646"/>
      <c r="K3" s="646"/>
      <c r="L3" s="646"/>
      <c r="M3" s="646"/>
      <c r="N3" s="646"/>
      <c r="O3" s="646"/>
      <c r="P3" s="182"/>
      <c r="Q3" s="182"/>
      <c r="R3" s="4"/>
    </row>
    <row r="4" spans="1:18">
      <c r="A4" s="4"/>
      <c r="B4" s="4"/>
      <c r="C4" s="4"/>
      <c r="D4" s="4"/>
      <c r="E4" s="4"/>
      <c r="F4" s="4"/>
      <c r="G4" s="4"/>
      <c r="H4" s="4"/>
      <c r="I4" s="4"/>
      <c r="J4" s="4"/>
      <c r="K4" s="4"/>
      <c r="L4" s="4"/>
      <c r="M4" s="4"/>
      <c r="N4" s="4"/>
      <c r="O4" s="4"/>
      <c r="P4" s="4"/>
      <c r="Q4" s="4"/>
      <c r="R4" s="4"/>
    </row>
    <row r="5" spans="1:18">
      <c r="A5" s="4"/>
      <c r="B5" s="4"/>
      <c r="C5" s="7"/>
      <c r="D5" s="7"/>
      <c r="E5" s="60"/>
      <c r="F5" s="96"/>
      <c r="G5" s="97"/>
      <c r="H5" s="7"/>
      <c r="I5" s="7"/>
      <c r="J5" s="7"/>
      <c r="K5" s="7"/>
      <c r="L5" s="7"/>
      <c r="M5" s="7"/>
      <c r="N5" s="7"/>
      <c r="O5" s="7"/>
      <c r="P5" s="7"/>
      <c r="Q5" s="7"/>
      <c r="R5" s="4"/>
    </row>
    <row r="6" spans="1:18">
      <c r="A6" s="4"/>
      <c r="B6" s="4"/>
      <c r="C6" s="7"/>
      <c r="D6" s="107" t="s">
        <v>890</v>
      </c>
      <c r="E6" s="648" t="s">
        <v>891</v>
      </c>
      <c r="F6" s="648"/>
      <c r="G6" s="648"/>
      <c r="H6" s="648"/>
      <c r="I6" s="7"/>
      <c r="J6" s="7"/>
      <c r="K6" s="7"/>
      <c r="L6" s="7"/>
      <c r="M6" s="7"/>
      <c r="N6" s="7"/>
      <c r="O6" s="7"/>
      <c r="P6" s="7"/>
      <c r="Q6" s="7"/>
      <c r="R6" s="4"/>
    </row>
    <row r="7" spans="1:18">
      <c r="A7" s="4"/>
      <c r="B7" s="4"/>
      <c r="C7" s="7"/>
      <c r="D7" s="107" t="s">
        <v>892</v>
      </c>
      <c r="E7" s="648" t="s">
        <v>893</v>
      </c>
      <c r="F7" s="648"/>
      <c r="G7" s="648"/>
      <c r="H7" s="648"/>
      <c r="I7" s="7"/>
      <c r="J7" s="7"/>
      <c r="K7" s="7"/>
      <c r="L7" s="7"/>
      <c r="M7" s="7"/>
      <c r="N7" s="7"/>
      <c r="O7" s="7"/>
      <c r="P7" s="7"/>
      <c r="Q7" s="7"/>
      <c r="R7" s="4"/>
    </row>
    <row r="8" spans="1:18">
      <c r="A8" s="4"/>
      <c r="B8" s="4"/>
      <c r="C8" s="7"/>
      <c r="D8" s="107" t="s">
        <v>117</v>
      </c>
      <c r="E8" s="648" t="s">
        <v>894</v>
      </c>
      <c r="F8" s="648"/>
      <c r="G8" s="648"/>
      <c r="H8" s="648"/>
      <c r="I8" s="7"/>
      <c r="J8" s="7"/>
      <c r="K8" s="7"/>
      <c r="L8" s="7"/>
      <c r="M8" s="7"/>
      <c r="N8" s="7"/>
      <c r="O8" s="7"/>
      <c r="P8" s="7"/>
      <c r="Q8" s="7"/>
      <c r="R8" s="4"/>
    </row>
    <row r="9" spans="1:18">
      <c r="A9" s="4"/>
      <c r="B9" s="4"/>
      <c r="C9" s="7"/>
      <c r="D9" s="107" t="s">
        <v>822</v>
      </c>
      <c r="E9" s="648"/>
      <c r="F9" s="648"/>
      <c r="G9" s="648"/>
      <c r="H9" s="648"/>
      <c r="I9" s="7"/>
      <c r="J9" s="7"/>
      <c r="K9" s="7"/>
      <c r="L9" s="7"/>
      <c r="M9" s="7"/>
      <c r="N9" s="7"/>
      <c r="O9" s="7"/>
      <c r="P9" s="7"/>
      <c r="Q9" s="7"/>
      <c r="R9" s="4"/>
    </row>
    <row r="10" spans="1:18">
      <c r="A10" s="4"/>
      <c r="B10" s="4"/>
      <c r="C10" s="7"/>
      <c r="D10" s="107" t="s">
        <v>895</v>
      </c>
      <c r="E10" s="648"/>
      <c r="F10" s="648"/>
      <c r="G10" s="648"/>
      <c r="H10" s="648"/>
      <c r="I10" s="7"/>
      <c r="J10" s="7"/>
      <c r="K10" s="7"/>
      <c r="L10" s="7"/>
      <c r="M10" s="7"/>
      <c r="N10" s="7"/>
      <c r="O10" s="7"/>
      <c r="P10" s="7"/>
      <c r="Q10" s="7"/>
      <c r="R10" s="4"/>
    </row>
    <row r="11" spans="1:18">
      <c r="A11" s="4"/>
      <c r="B11" s="4"/>
      <c r="C11" s="7"/>
      <c r="D11" s="107" t="s">
        <v>896</v>
      </c>
      <c r="E11" s="648"/>
      <c r="F11" s="648"/>
      <c r="G11" s="648"/>
      <c r="H11" s="648"/>
      <c r="I11" s="7"/>
      <c r="J11" s="7"/>
      <c r="K11" s="7"/>
      <c r="L11" s="7"/>
      <c r="M11" s="7"/>
      <c r="N11" s="7"/>
      <c r="O11" s="7"/>
      <c r="P11" s="7"/>
      <c r="Q11" s="7"/>
      <c r="R11" s="4"/>
    </row>
    <row r="12" spans="1:18">
      <c r="A12" s="4"/>
      <c r="B12" s="4"/>
      <c r="C12" s="7"/>
      <c r="D12" s="107" t="s">
        <v>477</v>
      </c>
      <c r="E12" s="648"/>
      <c r="F12" s="648"/>
      <c r="G12" s="648"/>
      <c r="H12" s="648"/>
      <c r="I12" s="7"/>
      <c r="J12" s="7"/>
      <c r="K12" s="7"/>
      <c r="L12" s="7"/>
      <c r="M12" s="7"/>
      <c r="N12" s="7"/>
      <c r="O12" s="7"/>
      <c r="P12" s="7"/>
      <c r="Q12" s="7"/>
      <c r="R12" s="4"/>
    </row>
    <row r="13" spans="1:18">
      <c r="A13" s="4"/>
      <c r="B13" s="4"/>
      <c r="C13" s="7"/>
      <c r="D13" s="107" t="s">
        <v>897</v>
      </c>
      <c r="E13" s="648" t="s">
        <v>317</v>
      </c>
      <c r="F13" s="648"/>
      <c r="G13" s="648"/>
      <c r="H13" s="648"/>
      <c r="I13" s="7"/>
      <c r="J13" s="7"/>
      <c r="K13" s="7"/>
      <c r="L13" s="7"/>
      <c r="M13" s="7"/>
      <c r="N13" s="7"/>
      <c r="O13" s="7"/>
      <c r="P13" s="7"/>
      <c r="Q13" s="7"/>
      <c r="R13" s="4"/>
    </row>
    <row r="14" spans="1:18">
      <c r="A14" s="4"/>
      <c r="B14" s="4"/>
      <c r="C14" s="7"/>
      <c r="D14" s="107" t="s">
        <v>267</v>
      </c>
      <c r="E14" s="650" t="s">
        <v>328</v>
      </c>
      <c r="F14" s="650"/>
      <c r="G14" s="650"/>
      <c r="H14" s="650"/>
      <c r="I14" s="7"/>
      <c r="J14" s="7"/>
      <c r="K14" s="7"/>
      <c r="L14" s="7"/>
      <c r="M14" s="7"/>
      <c r="N14" s="7"/>
      <c r="O14" s="7"/>
      <c r="P14" s="7"/>
      <c r="Q14" s="7"/>
      <c r="R14" s="4"/>
    </row>
    <row r="15" spans="1:18">
      <c r="A15" s="4"/>
      <c r="B15" s="4"/>
      <c r="C15" s="7"/>
      <c r="D15" s="107" t="s">
        <v>898</v>
      </c>
      <c r="E15" s="653" t="s">
        <v>899</v>
      </c>
      <c r="F15" s="676"/>
      <c r="G15" s="676"/>
      <c r="H15" s="654"/>
      <c r="I15" s="7"/>
      <c r="J15" s="7"/>
      <c r="K15" s="7"/>
      <c r="L15" s="7"/>
      <c r="M15" s="7"/>
      <c r="N15" s="7"/>
      <c r="O15" s="7"/>
      <c r="P15" s="7"/>
      <c r="Q15" s="7"/>
      <c r="R15" s="4"/>
    </row>
    <row r="16" spans="1:18">
      <c r="A16" s="4"/>
      <c r="B16" s="4"/>
      <c r="C16" s="7"/>
      <c r="D16" s="107" t="s">
        <v>900</v>
      </c>
      <c r="E16" s="651">
        <v>45020</v>
      </c>
      <c r="F16" s="651"/>
      <c r="G16" s="651"/>
      <c r="H16" s="651"/>
      <c r="I16" s="7"/>
      <c r="J16" s="7"/>
      <c r="K16" s="7"/>
      <c r="L16" s="7"/>
      <c r="M16" s="7"/>
      <c r="N16" s="7"/>
      <c r="O16" s="7"/>
      <c r="P16" s="7"/>
      <c r="Q16" s="7"/>
      <c r="R16" s="4"/>
    </row>
    <row r="17" spans="1:18">
      <c r="A17" s="4"/>
      <c r="B17" s="4"/>
      <c r="C17" s="7"/>
      <c r="D17" s="107" t="s">
        <v>901</v>
      </c>
      <c r="E17" s="651">
        <v>45386</v>
      </c>
      <c r="F17" s="651"/>
      <c r="G17" s="651"/>
      <c r="H17" s="651"/>
      <c r="I17" s="7"/>
      <c r="J17" s="7"/>
      <c r="K17" s="7"/>
      <c r="L17" s="7"/>
      <c r="M17" s="7"/>
      <c r="N17" s="7"/>
      <c r="O17" s="7"/>
      <c r="P17" s="7"/>
      <c r="Q17" s="7"/>
      <c r="R17" s="4"/>
    </row>
    <row r="18" spans="1:18">
      <c r="A18" s="4"/>
      <c r="B18" s="4"/>
      <c r="C18" s="7"/>
      <c r="D18" s="107" t="s">
        <v>902</v>
      </c>
      <c r="E18" s="652">
        <v>43160</v>
      </c>
      <c r="F18" s="652"/>
      <c r="G18" s="652"/>
      <c r="H18" s="652"/>
      <c r="I18" s="7"/>
      <c r="J18" s="7"/>
      <c r="K18" s="7"/>
      <c r="L18" s="7"/>
      <c r="M18" s="7"/>
      <c r="N18" s="7"/>
      <c r="O18" s="7"/>
      <c r="P18" s="7"/>
      <c r="Q18" s="7"/>
      <c r="R18" s="4"/>
    </row>
    <row r="19" spans="1:18">
      <c r="A19" s="4"/>
      <c r="B19" s="4"/>
      <c r="C19" s="7"/>
      <c r="D19" s="107" t="s">
        <v>903</v>
      </c>
      <c r="E19" s="652" t="s">
        <v>904</v>
      </c>
      <c r="F19" s="652"/>
      <c r="G19" s="652"/>
      <c r="H19" s="652"/>
      <c r="I19" s="7"/>
      <c r="J19" s="7"/>
      <c r="K19" s="7"/>
      <c r="L19" s="7"/>
      <c r="M19" s="7"/>
      <c r="N19" s="7"/>
      <c r="O19" s="7"/>
      <c r="P19" s="7"/>
      <c r="Q19" s="7"/>
      <c r="R19" s="4"/>
    </row>
    <row r="20" spans="1:18">
      <c r="A20" s="4"/>
      <c r="B20" s="4"/>
      <c r="C20" s="7"/>
      <c r="D20" s="107" t="s">
        <v>905</v>
      </c>
      <c r="E20" s="652" t="s">
        <v>906</v>
      </c>
      <c r="F20" s="652"/>
      <c r="G20" s="652"/>
      <c r="H20" s="652"/>
      <c r="I20" s="7"/>
      <c r="J20" s="7"/>
      <c r="K20" s="7"/>
      <c r="L20" s="7"/>
      <c r="M20" s="7"/>
      <c r="N20" s="7"/>
      <c r="O20" s="7"/>
      <c r="P20" s="7"/>
      <c r="Q20" s="7"/>
      <c r="R20" s="4"/>
    </row>
    <row r="21" spans="1:18">
      <c r="A21" s="4"/>
      <c r="B21" s="4"/>
      <c r="C21" s="7"/>
      <c r="D21" s="108" t="s">
        <v>907</v>
      </c>
      <c r="E21" s="649" t="s">
        <v>908</v>
      </c>
      <c r="F21" s="649"/>
      <c r="G21" s="649"/>
      <c r="H21" s="649"/>
      <c r="I21" s="7"/>
      <c r="J21" s="7"/>
      <c r="K21" s="7"/>
      <c r="L21" s="7"/>
      <c r="M21" s="7"/>
      <c r="N21" s="7"/>
      <c r="O21" s="7"/>
      <c r="P21" s="7"/>
      <c r="Q21" s="7"/>
      <c r="R21" s="4"/>
    </row>
    <row r="22" spans="1:18">
      <c r="A22" s="4"/>
      <c r="B22" s="4"/>
      <c r="C22" s="7"/>
      <c r="D22" s="7"/>
      <c r="E22" s="87"/>
      <c r="F22" s="1"/>
      <c r="G22" s="7"/>
      <c r="H22" s="7"/>
      <c r="I22" s="7"/>
      <c r="J22" s="7"/>
      <c r="K22" s="7"/>
      <c r="L22" s="7"/>
      <c r="M22" s="7"/>
      <c r="N22" s="7"/>
      <c r="O22" s="7"/>
      <c r="P22" s="7"/>
      <c r="Q22" s="7"/>
      <c r="R22" s="4"/>
    </row>
    <row r="23" spans="1:18">
      <c r="A23" s="4"/>
      <c r="B23" s="4"/>
      <c r="C23" s="4"/>
      <c r="D23" s="4"/>
      <c r="E23" s="4"/>
      <c r="F23" s="4"/>
      <c r="G23" s="4"/>
      <c r="H23" s="4"/>
      <c r="I23" s="4"/>
      <c r="J23" s="4"/>
      <c r="K23" s="4"/>
      <c r="L23" s="4"/>
      <c r="M23" s="4"/>
      <c r="N23" s="4"/>
      <c r="O23" s="4"/>
      <c r="P23" s="4"/>
      <c r="Q23" s="4"/>
      <c r="R23" s="4"/>
    </row>
    <row r="24" spans="1:18">
      <c r="A24" s="4"/>
      <c r="B24" s="4"/>
      <c r="C24" s="7"/>
      <c r="D24" s="7"/>
      <c r="E24" s="7"/>
      <c r="F24" s="7"/>
      <c r="G24" s="7"/>
      <c r="H24" s="7"/>
      <c r="I24" s="7"/>
      <c r="J24" s="7"/>
      <c r="K24" s="7"/>
      <c r="L24" s="7"/>
      <c r="M24" s="7"/>
      <c r="N24" s="7"/>
      <c r="O24" s="7"/>
      <c r="P24" s="7"/>
      <c r="Q24" s="7"/>
      <c r="R24" s="4"/>
    </row>
    <row r="25" spans="1:18">
      <c r="A25" s="4"/>
      <c r="B25" s="4"/>
      <c r="C25" s="7"/>
      <c r="D25" s="170" t="s">
        <v>1342</v>
      </c>
      <c r="E25" s="222">
        <f ca="1">YEAR(TODAY())</f>
        <v>2023</v>
      </c>
      <c r="F25" s="7"/>
      <c r="G25" s="7"/>
      <c r="H25" s="7"/>
      <c r="I25" s="7"/>
      <c r="J25" s="7"/>
      <c r="K25" s="7"/>
      <c r="L25" s="7"/>
      <c r="M25" s="7"/>
      <c r="N25" s="7"/>
      <c r="O25" s="7"/>
      <c r="P25" s="7"/>
      <c r="Q25" s="7"/>
      <c r="R25" s="4"/>
    </row>
    <row r="26" spans="1:18">
      <c r="A26" s="4"/>
      <c r="B26" s="4"/>
      <c r="C26" s="7"/>
      <c r="D26" s="170" t="s">
        <v>1343</v>
      </c>
      <c r="E26" s="222" t="str">
        <f ca="1">IF(OR(MOD(E25,400)=0,AND(MOD(E25,4)=0,MOD(E25,100)&lt;&gt;0)),"Yes", "No")</f>
        <v>No</v>
      </c>
      <c r="F26" s="7"/>
      <c r="G26" s="7"/>
      <c r="H26" s="7"/>
      <c r="I26" s="7"/>
      <c r="J26" s="7"/>
      <c r="K26" s="7"/>
      <c r="L26" s="7"/>
      <c r="M26" s="7"/>
      <c r="N26" s="7"/>
      <c r="O26" s="7"/>
      <c r="P26" s="7"/>
      <c r="Q26" s="7"/>
      <c r="R26" s="4"/>
    </row>
    <row r="27" spans="1:18">
      <c r="A27" s="4"/>
      <c r="B27" s="4"/>
      <c r="C27" s="7"/>
      <c r="D27" s="170" t="s">
        <v>1344</v>
      </c>
      <c r="E27" s="222">
        <f ca="1">IF(E26="No", 365, 366)</f>
        <v>365</v>
      </c>
      <c r="F27" s="7"/>
      <c r="G27" s="7"/>
      <c r="H27" s="7"/>
      <c r="I27" s="7"/>
      <c r="J27" s="7"/>
      <c r="K27" s="7"/>
      <c r="L27" s="7"/>
      <c r="M27" s="7"/>
      <c r="N27" s="7"/>
      <c r="O27" s="7"/>
      <c r="P27" s="7"/>
      <c r="Q27" s="7"/>
      <c r="R27" s="4"/>
    </row>
    <row r="28" spans="1:18">
      <c r="A28" s="4"/>
      <c r="B28" s="4"/>
      <c r="C28" s="7"/>
      <c r="D28" s="7"/>
      <c r="E28" s="96"/>
      <c r="F28" s="7"/>
      <c r="G28" s="7"/>
      <c r="H28" s="7"/>
      <c r="I28" s="7"/>
      <c r="J28" s="7"/>
      <c r="K28" s="7"/>
      <c r="L28" s="7"/>
      <c r="M28" s="7"/>
      <c r="N28" s="7"/>
      <c r="O28" s="7"/>
      <c r="P28" s="7"/>
      <c r="Q28" s="7"/>
      <c r="R28" s="4"/>
    </row>
    <row r="29" spans="1:18">
      <c r="A29" s="4"/>
      <c r="B29" s="4"/>
      <c r="C29" s="4"/>
      <c r="D29" s="4"/>
      <c r="E29" s="35"/>
      <c r="F29" s="4"/>
      <c r="G29" s="4"/>
      <c r="H29" s="4"/>
      <c r="I29" s="4"/>
      <c r="J29" s="4"/>
      <c r="K29" s="4"/>
      <c r="L29" s="4"/>
      <c r="M29" s="4"/>
      <c r="N29" s="4"/>
      <c r="O29" s="4"/>
      <c r="P29" s="4"/>
      <c r="Q29" s="4"/>
      <c r="R29" s="4"/>
    </row>
    <row r="30" spans="1:18" ht="18.600000000000001">
      <c r="A30" s="102"/>
      <c r="B30" s="102"/>
      <c r="C30" s="102" t="s">
        <v>1345</v>
      </c>
      <c r="D30" s="102"/>
      <c r="E30" s="399"/>
      <c r="F30" s="102"/>
      <c r="G30" s="102"/>
      <c r="H30" s="102"/>
      <c r="I30" s="102"/>
      <c r="J30" s="102"/>
      <c r="K30" s="102"/>
      <c r="L30" s="102"/>
      <c r="M30" s="102"/>
      <c r="N30" s="102"/>
      <c r="O30" s="102"/>
      <c r="P30" s="102"/>
      <c r="Q30" s="102"/>
      <c r="R30" s="102"/>
    </row>
    <row r="31" spans="1:18">
      <c r="A31" s="4"/>
      <c r="B31" s="4"/>
      <c r="C31" s="4"/>
      <c r="D31" s="4"/>
      <c r="E31" s="35"/>
      <c r="F31" s="4"/>
      <c r="G31" s="4"/>
      <c r="H31" s="4"/>
      <c r="I31" s="4"/>
      <c r="J31" s="4"/>
      <c r="K31" s="4"/>
      <c r="L31" s="4"/>
      <c r="M31" s="4"/>
      <c r="N31" s="4"/>
      <c r="O31" s="4"/>
      <c r="P31" s="4"/>
      <c r="Q31" s="4"/>
      <c r="R31" s="4"/>
    </row>
    <row r="32" spans="1:18">
      <c r="A32" s="4"/>
      <c r="B32" s="4"/>
      <c r="C32" s="7"/>
      <c r="D32" s="70"/>
      <c r="E32" s="70"/>
      <c r="F32" s="7"/>
      <c r="G32" s="7"/>
      <c r="H32" s="7"/>
      <c r="I32" s="7"/>
      <c r="J32" s="7"/>
      <c r="K32" s="7"/>
      <c r="L32" s="7"/>
      <c r="M32" s="7"/>
      <c r="N32" s="7"/>
      <c r="O32" s="7"/>
      <c r="P32" s="7"/>
      <c r="Q32" s="7"/>
      <c r="R32" s="4"/>
    </row>
    <row r="33" spans="1:18" ht="16.5">
      <c r="A33" s="4"/>
      <c r="B33" s="4"/>
      <c r="C33" s="54"/>
      <c r="D33" s="18" t="s">
        <v>1346</v>
      </c>
      <c r="E33" s="18" t="s">
        <v>207</v>
      </c>
      <c r="F33" s="18" t="s">
        <v>1347</v>
      </c>
      <c r="G33" s="18" t="s">
        <v>1348</v>
      </c>
      <c r="H33" s="18" t="s">
        <v>1349</v>
      </c>
      <c r="I33" s="18" t="s">
        <v>1350</v>
      </c>
      <c r="J33" s="18" t="s">
        <v>1351</v>
      </c>
      <c r="K33" s="18" t="s">
        <v>1352</v>
      </c>
      <c r="L33" s="18" t="s">
        <v>1353</v>
      </c>
      <c r="M33" s="18" t="s">
        <v>1354</v>
      </c>
      <c r="N33" s="99"/>
      <c r="O33" s="99"/>
      <c r="P33" s="99"/>
      <c r="Q33" s="54"/>
      <c r="R33" s="4"/>
    </row>
    <row r="34" spans="1:18">
      <c r="A34" s="4"/>
      <c r="B34" s="4"/>
      <c r="C34" s="7"/>
      <c r="D34" s="421" t="s">
        <v>117</v>
      </c>
      <c r="E34" s="422">
        <f t="shared" ref="E34:M34" si="0">F58</f>
        <v>0.96661555330610061</v>
      </c>
      <c r="F34" s="423">
        <f t="shared" ca="1" si="0"/>
        <v>12.185323043273286</v>
      </c>
      <c r="G34" s="423">
        <f t="shared" ca="1" si="0"/>
        <v>292.44775303855931</v>
      </c>
      <c r="H34" s="423">
        <f t="shared" ca="1" si="0"/>
        <v>17546.865182313559</v>
      </c>
      <c r="I34" s="423">
        <f t="shared" ca="1" si="0"/>
        <v>1.015443586939442</v>
      </c>
      <c r="J34" s="423">
        <f t="shared" ca="1" si="0"/>
        <v>24.370646086546611</v>
      </c>
      <c r="K34" s="423">
        <f t="shared" ca="1" si="0"/>
        <v>1462.2387651927966</v>
      </c>
      <c r="L34" s="424">
        <f t="shared" si="0"/>
        <v>6.6708056250000007E-3</v>
      </c>
      <c r="M34" s="424">
        <f t="shared" si="0"/>
        <v>1</v>
      </c>
      <c r="N34" s="419"/>
      <c r="O34" s="419"/>
      <c r="P34" s="130"/>
      <c r="Q34" s="129"/>
      <c r="R34" s="4"/>
    </row>
    <row r="35" spans="1:18">
      <c r="A35" s="4"/>
      <c r="B35" s="4"/>
      <c r="C35" s="7"/>
      <c r="D35" s="18" t="s">
        <v>834</v>
      </c>
      <c r="E35" s="330">
        <f t="shared" ref="E35:M35" si="1">F70</f>
        <v>0.98930710889505002</v>
      </c>
      <c r="F35" s="418">
        <f t="shared" ca="1" si="1"/>
        <v>3.9029052533067556</v>
      </c>
      <c r="G35" s="418">
        <f t="shared" ca="1" si="1"/>
        <v>93.66972607936259</v>
      </c>
      <c r="H35" s="418">
        <f t="shared" ca="1" si="1"/>
        <v>5620.1835647617554</v>
      </c>
      <c r="I35" s="418">
        <f t="shared" ca="1" si="1"/>
        <v>0.32524210444223123</v>
      </c>
      <c r="J35" s="418">
        <f t="shared" ca="1" si="1"/>
        <v>7.8058105066135495</v>
      </c>
      <c r="K35" s="418">
        <f t="shared" ca="1" si="1"/>
        <v>468.34863039681295</v>
      </c>
      <c r="L35" s="417">
        <f t="shared" si="1"/>
        <v>6.1874999999999999E-2</v>
      </c>
      <c r="M35" s="417">
        <f t="shared" si="1"/>
        <v>1</v>
      </c>
      <c r="N35" s="419"/>
      <c r="O35" s="419"/>
      <c r="P35" s="130"/>
      <c r="Q35" s="129"/>
      <c r="R35" s="4"/>
    </row>
    <row r="36" spans="1:18">
      <c r="A36" s="4"/>
      <c r="B36" s="4"/>
      <c r="C36" s="7"/>
      <c r="D36" s="18" t="s">
        <v>1355</v>
      </c>
      <c r="E36" s="330">
        <f t="shared" ref="E36:M36" si="2">F110</f>
        <v>0.99630545589167241</v>
      </c>
      <c r="F36" s="418">
        <f t="shared" ca="1" si="2"/>
        <v>1.3485085995395707</v>
      </c>
      <c r="G36" s="418">
        <f t="shared" ca="1" si="2"/>
        <v>32.364206388949242</v>
      </c>
      <c r="H36" s="418">
        <f t="shared" ca="1" si="2"/>
        <v>1941.8523833369545</v>
      </c>
      <c r="I36" s="418">
        <f t="shared" ca="1" si="2"/>
        <v>0.11237571662829599</v>
      </c>
      <c r="J36" s="418">
        <f t="shared" ca="1" si="2"/>
        <v>2.6970171990791036</v>
      </c>
      <c r="K36" s="418">
        <f t="shared" ca="1" si="2"/>
        <v>161.82103194474621</v>
      </c>
      <c r="L36" s="417">
        <f t="shared" si="2"/>
        <v>1.53140625E-2</v>
      </c>
      <c r="M36" s="417">
        <f t="shared" si="2"/>
        <v>1</v>
      </c>
      <c r="N36" s="419"/>
      <c r="O36" s="419"/>
      <c r="P36" s="130"/>
      <c r="Q36" s="129"/>
      <c r="R36" s="4"/>
    </row>
    <row r="37" spans="1:18">
      <c r="A37" s="4"/>
      <c r="B37" s="4"/>
      <c r="C37" s="7"/>
      <c r="D37" s="416" t="s">
        <v>1178</v>
      </c>
      <c r="E37" s="330">
        <f t="shared" ref="E37:M37" si="3">F95</f>
        <v>0.99680385782058267</v>
      </c>
      <c r="F37" s="418">
        <f t="shared" ca="1" si="3"/>
        <v>1.1665918954873291</v>
      </c>
      <c r="G37" s="418">
        <f t="shared" ca="1" si="3"/>
        <v>27.998205491696353</v>
      </c>
      <c r="H37" s="418">
        <f t="shared" ca="1" si="3"/>
        <v>1679.8923295017812</v>
      </c>
      <c r="I37" s="418">
        <f t="shared" ca="1" si="3"/>
        <v>9.7215991290612327E-2</v>
      </c>
      <c r="J37" s="418">
        <f t="shared" ca="1" si="3"/>
        <v>2.333183790974696</v>
      </c>
      <c r="K37" s="418">
        <f t="shared" ca="1" si="3"/>
        <v>139.99102745848177</v>
      </c>
      <c r="L37" s="417">
        <f t="shared" si="3"/>
        <v>2.3203124999999998E-2</v>
      </c>
      <c r="M37" s="417">
        <f t="shared" si="3"/>
        <v>1</v>
      </c>
      <c r="N37" s="420"/>
      <c r="O37" s="420"/>
      <c r="P37" s="130"/>
      <c r="Q37" s="129"/>
      <c r="R37" s="4"/>
    </row>
    <row r="38" spans="1:18">
      <c r="A38" s="4"/>
      <c r="B38" s="4"/>
      <c r="C38" s="7"/>
      <c r="D38" s="18" t="s">
        <v>1356</v>
      </c>
      <c r="E38" s="330">
        <f t="shared" ref="E38:M38" si="4">F123</f>
        <v>0.99780165948006261</v>
      </c>
      <c r="F38" s="418">
        <f t="shared" ca="1" si="4"/>
        <v>0.80239428977716898</v>
      </c>
      <c r="G38" s="418">
        <f t="shared" ca="1" si="4"/>
        <v>19.257462954650691</v>
      </c>
      <c r="H38" s="418">
        <f t="shared" ca="1" si="4"/>
        <v>1155.4477772790415</v>
      </c>
      <c r="I38" s="418">
        <f t="shared" ca="1" si="4"/>
        <v>6.6866190814759349E-2</v>
      </c>
      <c r="J38" s="418">
        <f t="shared" ca="1" si="4"/>
        <v>1.6047885795542243</v>
      </c>
      <c r="K38" s="418">
        <f t="shared" ca="1" si="4"/>
        <v>96.287314773253456</v>
      </c>
      <c r="L38" s="417">
        <f t="shared" si="4"/>
        <v>3.515625E-2</v>
      </c>
      <c r="M38" s="417">
        <f t="shared" si="4"/>
        <v>1</v>
      </c>
      <c r="N38" s="420"/>
      <c r="O38" s="420"/>
      <c r="P38" s="130"/>
      <c r="Q38" s="129"/>
      <c r="R38" s="4"/>
    </row>
    <row r="39" spans="1:18">
      <c r="A39" s="4"/>
      <c r="B39" s="4"/>
      <c r="C39" s="7"/>
      <c r="D39" s="18" t="s">
        <v>1357</v>
      </c>
      <c r="E39" s="330">
        <f t="shared" ref="E39:M39" si="5">F148</f>
        <v>0.99780165948006261</v>
      </c>
      <c r="F39" s="418">
        <f t="shared" ca="1" si="5"/>
        <v>0.80239428977716898</v>
      </c>
      <c r="G39" s="418">
        <f t="shared" ca="1" si="5"/>
        <v>19.257462954650691</v>
      </c>
      <c r="H39" s="418">
        <f t="shared" ca="1" si="5"/>
        <v>1155.4477772790415</v>
      </c>
      <c r="I39" s="418">
        <f t="shared" ca="1" si="5"/>
        <v>6.6866190814759349E-2</v>
      </c>
      <c r="J39" s="418">
        <f t="shared" ca="1" si="5"/>
        <v>1.6047885795542243</v>
      </c>
      <c r="K39" s="418">
        <f t="shared" ca="1" si="5"/>
        <v>96.287314773253456</v>
      </c>
      <c r="L39" s="417">
        <f t="shared" si="5"/>
        <v>3.515625E-2</v>
      </c>
      <c r="M39" s="417">
        <f t="shared" si="5"/>
        <v>1</v>
      </c>
      <c r="N39" s="420"/>
      <c r="O39" s="420"/>
      <c r="P39" s="130"/>
      <c r="Q39" s="129"/>
      <c r="R39" s="4"/>
    </row>
    <row r="40" spans="1:18">
      <c r="A40" s="4"/>
      <c r="B40" s="4"/>
      <c r="C40" s="7"/>
      <c r="D40" s="18" t="s">
        <v>1358</v>
      </c>
      <c r="E40" s="330">
        <f t="shared" ref="E40:M40" si="6">F135</f>
        <v>0.99790144962502514</v>
      </c>
      <c r="F40" s="418">
        <f t="shared" ca="1" si="6"/>
        <v>0.76597088686582993</v>
      </c>
      <c r="G40" s="418">
        <f t="shared" ca="1" si="6"/>
        <v>18.383301284779009</v>
      </c>
      <c r="H40" s="418">
        <f t="shared" ca="1" si="6"/>
        <v>1102.9980770867405</v>
      </c>
      <c r="I40" s="418">
        <f t="shared" ca="1" si="6"/>
        <v>6.3830907238816001E-2</v>
      </c>
      <c r="J40" s="418">
        <f t="shared" ca="1" si="6"/>
        <v>1.5319417737315841</v>
      </c>
      <c r="K40" s="418">
        <f t="shared" ca="1" si="6"/>
        <v>91.916506423895044</v>
      </c>
      <c r="L40" s="417">
        <f t="shared" si="6"/>
        <v>4.1250000000000002E-2</v>
      </c>
      <c r="M40" s="417">
        <f t="shared" si="6"/>
        <v>1</v>
      </c>
      <c r="N40" s="420"/>
      <c r="O40" s="420"/>
      <c r="P40" s="130"/>
      <c r="Q40" s="129"/>
      <c r="R40" s="4"/>
    </row>
    <row r="41" spans="1:18">
      <c r="A41" s="4"/>
      <c r="B41" s="4"/>
      <c r="C41" s="7"/>
      <c r="D41" s="18" t="s">
        <v>1359</v>
      </c>
      <c r="E41" s="330">
        <f t="shared" ref="E41:M41" si="7">F81</f>
        <v>0.99930010999500007</v>
      </c>
      <c r="F41" s="418">
        <f t="shared" ca="1" si="7"/>
        <v>0.25545985182498043</v>
      </c>
      <c r="G41" s="418">
        <f t="shared" ca="1" si="7"/>
        <v>6.1310364437995304</v>
      </c>
      <c r="H41" s="418">
        <f t="shared" ca="1" si="7"/>
        <v>367.86218662797182</v>
      </c>
      <c r="I41" s="418">
        <f t="shared" ca="1" si="7"/>
        <v>2.1288320985415037E-2</v>
      </c>
      <c r="J41" s="418">
        <f t="shared" ca="1" si="7"/>
        <v>0.51091970364996087</v>
      </c>
      <c r="K41" s="418">
        <f t="shared" ca="1" si="7"/>
        <v>30.655182218997652</v>
      </c>
      <c r="L41" s="417">
        <f t="shared" si="7"/>
        <v>9.375E-2</v>
      </c>
      <c r="M41" s="417">
        <f t="shared" si="7"/>
        <v>1</v>
      </c>
      <c r="N41" s="420"/>
      <c r="O41" s="420"/>
      <c r="P41" s="130"/>
      <c r="Q41" s="129"/>
      <c r="R41" s="4"/>
    </row>
    <row r="42" spans="1:18">
      <c r="A42" s="4"/>
      <c r="B42" s="4"/>
      <c r="C42" s="7"/>
      <c r="D42" s="7"/>
      <c r="E42" s="96"/>
      <c r="F42" s="7"/>
      <c r="G42" s="7"/>
      <c r="H42" s="7"/>
      <c r="I42" s="7"/>
      <c r="J42" s="7"/>
      <c r="K42" s="7"/>
      <c r="L42" s="7"/>
      <c r="M42" s="7"/>
      <c r="N42" s="7"/>
      <c r="O42" s="7"/>
      <c r="P42" s="7"/>
      <c r="Q42" s="7"/>
      <c r="R42" s="4"/>
    </row>
    <row r="43" spans="1:18">
      <c r="A43" s="4"/>
      <c r="B43" s="4"/>
      <c r="C43" s="4"/>
      <c r="D43" s="4"/>
      <c r="E43" s="35"/>
      <c r="F43" s="4"/>
      <c r="G43" s="4"/>
      <c r="H43" s="4"/>
      <c r="I43" s="4"/>
      <c r="J43" s="4"/>
      <c r="K43" s="4"/>
      <c r="L43" s="4"/>
      <c r="M43" s="4"/>
      <c r="N43" s="4"/>
      <c r="O43" s="4"/>
      <c r="P43" s="4"/>
      <c r="Q43" s="4"/>
      <c r="R43" s="4"/>
    </row>
    <row r="44" spans="1:18" ht="18.600000000000001">
      <c r="A44" s="102"/>
      <c r="B44" s="102"/>
      <c r="C44" s="102" t="s">
        <v>1360</v>
      </c>
      <c r="D44" s="102"/>
      <c r="E44" s="399"/>
      <c r="F44" s="102"/>
      <c r="G44" s="102"/>
      <c r="H44" s="102"/>
      <c r="I44" s="102"/>
      <c r="J44" s="102"/>
      <c r="K44" s="102"/>
      <c r="L44" s="102"/>
      <c r="M44" s="102"/>
      <c r="N44" s="102"/>
      <c r="O44" s="102"/>
      <c r="P44" s="102"/>
      <c r="Q44" s="102"/>
      <c r="R44" s="102"/>
    </row>
    <row r="45" spans="1:18" outlineLevel="1">
      <c r="A45" s="4"/>
      <c r="B45" s="4"/>
      <c r="C45" s="4"/>
      <c r="D45" s="4"/>
      <c r="E45" s="4"/>
      <c r="F45" s="4"/>
      <c r="G45" s="4"/>
      <c r="H45" s="4"/>
      <c r="I45" s="4"/>
      <c r="J45" s="4"/>
      <c r="K45" s="4"/>
      <c r="L45" s="4"/>
      <c r="M45" s="4"/>
      <c r="N45" s="4"/>
      <c r="O45" s="4"/>
      <c r="P45" s="4"/>
      <c r="Q45" s="4"/>
      <c r="R45" s="4"/>
    </row>
    <row r="46" spans="1:18" outlineLevel="1">
      <c r="A46" s="4"/>
      <c r="B46" s="4"/>
      <c r="C46" s="7"/>
      <c r="D46" s="70"/>
      <c r="E46" s="70"/>
      <c r="F46" s="7"/>
      <c r="G46" s="7"/>
      <c r="H46" s="7"/>
      <c r="I46" s="7"/>
      <c r="J46" s="7"/>
      <c r="K46" s="7"/>
      <c r="L46" s="7"/>
      <c r="M46" s="7"/>
      <c r="N46" s="7"/>
      <c r="O46" s="7"/>
      <c r="P46" s="7"/>
      <c r="Q46" s="7"/>
      <c r="R46" s="4"/>
    </row>
    <row r="47" spans="1:18" ht="16.5" outlineLevel="1">
      <c r="A47" s="8"/>
      <c r="B47" s="8"/>
      <c r="C47" s="54"/>
      <c r="D47" s="18" t="s">
        <v>1361</v>
      </c>
      <c r="E47" s="18" t="s">
        <v>1116</v>
      </c>
      <c r="F47" s="18" t="s">
        <v>207</v>
      </c>
      <c r="G47" s="18" t="s">
        <v>1347</v>
      </c>
      <c r="H47" s="18" t="s">
        <v>1348</v>
      </c>
      <c r="I47" s="18" t="s">
        <v>1349</v>
      </c>
      <c r="J47" s="18" t="s">
        <v>1350</v>
      </c>
      <c r="K47" s="18" t="s">
        <v>1351</v>
      </c>
      <c r="L47" s="18" t="s">
        <v>1352</v>
      </c>
      <c r="M47" s="18" t="s">
        <v>1353</v>
      </c>
      <c r="N47" s="18" t="s">
        <v>1354</v>
      </c>
      <c r="O47" s="18" t="s">
        <v>1362</v>
      </c>
      <c r="P47" s="18" t="s">
        <v>1363</v>
      </c>
      <c r="Q47" s="54"/>
      <c r="R47" s="8"/>
    </row>
    <row r="48" spans="1:18" ht="16.5" outlineLevel="1">
      <c r="A48" s="4"/>
      <c r="B48" s="4"/>
      <c r="C48" s="7"/>
      <c r="D48" s="18" t="s">
        <v>1364</v>
      </c>
      <c r="E48" s="16" t="s">
        <v>1365</v>
      </c>
      <c r="F48" s="325">
        <v>0.99990000000000001</v>
      </c>
      <c r="G48" s="326">
        <f ca="1">(E27) - Table4725107116[[#This Row],[SLA]]*(E27)</f>
        <v>3.6499999999989541E-2</v>
      </c>
      <c r="H48" s="326">
        <f ca="1">(24*E27) - Table4725107116[[#This Row],[SLA]]*(24*E27)</f>
        <v>0.87600000000020373</v>
      </c>
      <c r="I48" s="326">
        <f ca="1">Table4725107116[[#This Row],[Downtime/Year (Hours)]]*60</f>
        <v>52.560000000012224</v>
      </c>
      <c r="J48" s="326">
        <f ca="1">Table4725107116[[#This Row],[Downtime/Month (Hours)]]/24</f>
        <v>3.0416666666673742E-3</v>
      </c>
      <c r="K48" s="326">
        <f ca="1">Table4725107116[[#This Row],[Downtime/Year (Hours)]]/12</f>
        <v>7.3000000000016982E-2</v>
      </c>
      <c r="L48" s="326">
        <f ca="1">Table4725107116[[#This Row],[Downtime/Month (Hours)]]*60</f>
        <v>4.3800000000010186</v>
      </c>
      <c r="M48" s="325">
        <v>0.5</v>
      </c>
      <c r="N48" s="327">
        <v>1</v>
      </c>
      <c r="O48" s="128">
        <v>0</v>
      </c>
      <c r="P48" s="128">
        <v>1</v>
      </c>
      <c r="Q48" s="129"/>
      <c r="R48" s="4"/>
    </row>
    <row r="49" spans="1:18" outlineLevel="1">
      <c r="A49" s="4"/>
      <c r="B49" s="4"/>
      <c r="C49" s="7"/>
      <c r="D49" s="18" t="s">
        <v>977</v>
      </c>
      <c r="E49" s="16" t="s">
        <v>1365</v>
      </c>
      <c r="F49" s="325">
        <v>1</v>
      </c>
      <c r="G49" s="326">
        <f ca="1">(E27) - Table4725107116[[#This Row],[SLA]]*(E27)</f>
        <v>0</v>
      </c>
      <c r="H49" s="326">
        <f ca="1">(24*E27) - Table4725107116[[#This Row],[SLA]]*(24*E27)</f>
        <v>0</v>
      </c>
      <c r="I49" s="326">
        <f ca="1">Table4725107116[[#This Row],[Downtime/Year (Hours)]]*60</f>
        <v>0</v>
      </c>
      <c r="J49" s="326">
        <f ca="1">Table4725107116[[#This Row],[Downtime/Month (Hours)]]/24</f>
        <v>0</v>
      </c>
      <c r="K49" s="326">
        <f ca="1">Table4725107116[[#This Row],[Downtime/Year (Hours)]]/12</f>
        <v>0</v>
      </c>
      <c r="L49" s="326">
        <f ca="1">Table4725107116[[#This Row],[Downtime/Month (Hours)]]*60</f>
        <v>0</v>
      </c>
      <c r="M49" s="325">
        <v>0.5</v>
      </c>
      <c r="N49" s="327">
        <v>1</v>
      </c>
      <c r="O49" s="128">
        <v>0</v>
      </c>
      <c r="P49" s="128">
        <v>1</v>
      </c>
      <c r="Q49" s="129"/>
      <c r="R49" s="4"/>
    </row>
    <row r="50" spans="1:18" outlineLevel="1">
      <c r="A50" s="4"/>
      <c r="B50" s="4"/>
      <c r="C50" s="7"/>
      <c r="D50" s="18" t="s">
        <v>975</v>
      </c>
      <c r="E50" s="16" t="s">
        <v>1365</v>
      </c>
      <c r="F50" s="325">
        <v>0.99950000000000006</v>
      </c>
      <c r="G50" s="326">
        <f ca="1">(E27) - Table4725107116[[#This Row],[SLA]]*(E27)</f>
        <v>0.18250000000000455</v>
      </c>
      <c r="H50" s="326">
        <f ca="1">(24*E27) - Table4725107116[[#This Row],[SLA]]*(24*E27)</f>
        <v>4.3799999999991996</v>
      </c>
      <c r="I50" s="326">
        <f ca="1">Table4725107116[[#This Row],[Downtime/Year (Hours)]]*60</f>
        <v>262.79999999995198</v>
      </c>
      <c r="J50" s="326">
        <f ca="1">Table4725107116[[#This Row],[Downtime/Month (Hours)]]/24</f>
        <v>1.5208333333330555E-2</v>
      </c>
      <c r="K50" s="326">
        <f ca="1">Table4725107116[[#This Row],[Downtime/Year (Hours)]]/12</f>
        <v>0.36499999999993332</v>
      </c>
      <c r="L50" s="326">
        <f ca="1">Table4725107116[[#This Row],[Downtime/Month (Hours)]]*60</f>
        <v>21.899999999995998</v>
      </c>
      <c r="M50" s="325">
        <v>0.5</v>
      </c>
      <c r="N50" s="327">
        <v>1</v>
      </c>
      <c r="O50" s="128">
        <v>0</v>
      </c>
      <c r="P50" s="128">
        <v>1</v>
      </c>
      <c r="Q50" s="129"/>
      <c r="R50" s="4"/>
    </row>
    <row r="51" spans="1:18" outlineLevel="1">
      <c r="A51" s="4"/>
      <c r="B51" s="4"/>
      <c r="C51" s="7"/>
      <c r="D51" s="328" t="s">
        <v>981</v>
      </c>
      <c r="E51" s="16" t="s">
        <v>1365</v>
      </c>
      <c r="F51" s="325">
        <v>0.999</v>
      </c>
      <c r="G51" s="326">
        <f ca="1">(E27) - Table4725107116[[#This Row],[SLA]]*(E27)</f>
        <v>0.36500000000000909</v>
      </c>
      <c r="H51" s="326">
        <f ca="1">(24*E27) - Table4725107116[[#This Row],[SLA]]*(24*E27)</f>
        <v>8.7600000000002183</v>
      </c>
      <c r="I51" s="326">
        <f ca="1">Table4725107116[[#This Row],[Downtime/Year (Hours)]]*60</f>
        <v>525.6000000000131</v>
      </c>
      <c r="J51" s="326">
        <f ca="1">Table4725107116[[#This Row],[Downtime/Month (Hours)]]/24</f>
        <v>3.0416666666667425E-2</v>
      </c>
      <c r="K51" s="326">
        <f ca="1">Table4725107116[[#This Row],[Downtime/Year (Hours)]]/12</f>
        <v>0.73000000000001819</v>
      </c>
      <c r="L51" s="326">
        <f ca="1">Table4725107116[[#This Row],[Downtime/Month (Hours)]]*60</f>
        <v>43.800000000001091</v>
      </c>
      <c r="M51" s="325">
        <v>0.5</v>
      </c>
      <c r="N51" s="327">
        <v>1</v>
      </c>
      <c r="O51" s="128">
        <v>0</v>
      </c>
      <c r="P51" s="128">
        <v>1</v>
      </c>
      <c r="Q51" s="129"/>
      <c r="R51" s="4"/>
    </row>
    <row r="52" spans="1:18" outlineLevel="1">
      <c r="A52" s="4"/>
      <c r="B52" s="4"/>
      <c r="C52" s="7"/>
      <c r="D52" s="18" t="s">
        <v>979</v>
      </c>
      <c r="E52" s="16" t="s">
        <v>1365</v>
      </c>
      <c r="F52" s="325">
        <v>0.99950000000000006</v>
      </c>
      <c r="G52" s="326">
        <f ca="1">(E27) - Table4725107116[[#This Row],[SLA]]*(E27)</f>
        <v>0.18250000000000455</v>
      </c>
      <c r="H52" s="326">
        <f ca="1">(24*E27) - Table4725107116[[#This Row],[SLA]]*(24*E27)</f>
        <v>4.3799999999991996</v>
      </c>
      <c r="I52" s="326">
        <f ca="1">Table4725107116[[#This Row],[Downtime/Year (Hours)]]*60</f>
        <v>262.79999999995198</v>
      </c>
      <c r="J52" s="326">
        <f ca="1">Table4725107116[[#This Row],[Downtime/Month (Hours)]]/24</f>
        <v>1.5208333333330555E-2</v>
      </c>
      <c r="K52" s="326">
        <f ca="1">Table4725107116[[#This Row],[Downtime/Year (Hours)]]/12</f>
        <v>0.36499999999993332</v>
      </c>
      <c r="L52" s="326">
        <f ca="1">Table4725107116[[#This Row],[Downtime/Month (Hours)]]*60</f>
        <v>21.899999999995998</v>
      </c>
      <c r="M52" s="325">
        <v>0.75</v>
      </c>
      <c r="N52" s="327">
        <v>1</v>
      </c>
      <c r="O52" s="128">
        <v>0</v>
      </c>
      <c r="P52" s="128">
        <v>1</v>
      </c>
      <c r="Q52" s="129"/>
      <c r="R52" s="4"/>
    </row>
    <row r="53" spans="1:18" outlineLevel="1">
      <c r="A53" s="4"/>
      <c r="B53" s="4"/>
      <c r="C53" s="7"/>
      <c r="D53" s="18" t="s">
        <v>980</v>
      </c>
      <c r="E53" s="16" t="s">
        <v>1365</v>
      </c>
      <c r="F53" s="325">
        <v>0.999</v>
      </c>
      <c r="G53" s="326">
        <f ca="1">(E27) - Table4725107116[[#This Row],[SLA]]*(E27)</f>
        <v>0.36500000000000909</v>
      </c>
      <c r="H53" s="326">
        <f ca="1">(24*E27) - Table4725107116[[#This Row],[SLA]]*(24*E27)</f>
        <v>8.7600000000002183</v>
      </c>
      <c r="I53" s="326">
        <f ca="1">Table4725107116[[#This Row],[Downtime/Year (Hours)]]*60</f>
        <v>525.6000000000131</v>
      </c>
      <c r="J53" s="326">
        <f ca="1">Table4725107116[[#This Row],[Downtime/Month (Hours)]]/24</f>
        <v>3.0416666666667425E-2</v>
      </c>
      <c r="K53" s="326">
        <f ca="1">Table4725107116[[#This Row],[Downtime/Year (Hours)]]/12</f>
        <v>0.73000000000001819</v>
      </c>
      <c r="L53" s="326">
        <f ca="1">Table4725107116[[#This Row],[Downtime/Month (Hours)]]*60</f>
        <v>43.800000000001091</v>
      </c>
      <c r="M53" s="325">
        <v>0.66</v>
      </c>
      <c r="N53" s="327">
        <v>1</v>
      </c>
      <c r="O53" s="128">
        <v>0</v>
      </c>
      <c r="P53" s="128">
        <v>1</v>
      </c>
      <c r="Q53" s="129"/>
      <c r="R53" s="4"/>
    </row>
    <row r="54" spans="1:18" outlineLevel="1">
      <c r="A54" s="4"/>
      <c r="B54" s="4"/>
      <c r="C54" s="7"/>
      <c r="D54" s="18" t="s">
        <v>982</v>
      </c>
      <c r="E54" s="16" t="s">
        <v>1365</v>
      </c>
      <c r="F54" s="325">
        <v>0.99990000000000001</v>
      </c>
      <c r="G54" s="326">
        <f ca="1">(E27) - Table4725107116[[#This Row],[SLA]]*(E27)</f>
        <v>3.6499999999989541E-2</v>
      </c>
      <c r="H54" s="326">
        <f ca="1">(24*E27) - Table4725107116[[#This Row],[SLA]]*(24*E27)</f>
        <v>0.87600000000020373</v>
      </c>
      <c r="I54" s="326">
        <f ca="1">Table4725107116[[#This Row],[Downtime/Year (Hours)]]*60</f>
        <v>52.560000000012224</v>
      </c>
      <c r="J54" s="326">
        <f ca="1">Table4725107116[[#This Row],[Downtime/Month (Hours)]]/24</f>
        <v>3.0416666666673742E-3</v>
      </c>
      <c r="K54" s="326">
        <f ca="1">Table4725107116[[#This Row],[Downtime/Year (Hours)]]/12</f>
        <v>7.3000000000016982E-2</v>
      </c>
      <c r="L54" s="326">
        <f ca="1">Table4725107116[[#This Row],[Downtime/Month (Hours)]]*60</f>
        <v>4.3800000000010186</v>
      </c>
      <c r="M54" s="325">
        <v>0.75</v>
      </c>
      <c r="N54" s="327">
        <v>1</v>
      </c>
      <c r="O54" s="329">
        <v>1</v>
      </c>
      <c r="P54" s="329">
        <v>8</v>
      </c>
      <c r="Q54" s="129"/>
      <c r="R54" s="4"/>
    </row>
    <row r="55" spans="1:18" outlineLevel="1">
      <c r="A55" s="4"/>
      <c r="B55" s="4"/>
      <c r="C55" s="7"/>
      <c r="D55" s="18" t="s">
        <v>983</v>
      </c>
      <c r="E55" s="16" t="s">
        <v>1365</v>
      </c>
      <c r="F55" s="325">
        <v>0.99950000000000006</v>
      </c>
      <c r="G55" s="326">
        <f ca="1">(E27) - Table4725107116[[#This Row],[SLA]]*(E27)</f>
        <v>0.18250000000000455</v>
      </c>
      <c r="H55" s="326">
        <f ca="1">(24*E27) - Table4725107116[[#This Row],[SLA]]*(24*E27)</f>
        <v>4.3799999999991996</v>
      </c>
      <c r="I55" s="326">
        <f ca="1">Table4725107116[[#This Row],[Downtime/Year (Hours)]]*60</f>
        <v>262.79999999995198</v>
      </c>
      <c r="J55" s="326">
        <f ca="1">Table4725107116[[#This Row],[Downtime/Month (Hours)]]/24</f>
        <v>1.5208333333330555E-2</v>
      </c>
      <c r="K55" s="326">
        <f ca="1">Table4725107116[[#This Row],[Downtime/Year (Hours)]]/12</f>
        <v>0.36499999999993332</v>
      </c>
      <c r="L55" s="326">
        <f ca="1">Table4725107116[[#This Row],[Downtime/Month (Hours)]]*60</f>
        <v>21.899999999995998</v>
      </c>
      <c r="M55" s="325">
        <v>0.66</v>
      </c>
      <c r="N55" s="327">
        <v>1</v>
      </c>
      <c r="O55" s="329">
        <v>1</v>
      </c>
      <c r="P55" s="329">
        <v>8</v>
      </c>
      <c r="Q55" s="129"/>
      <c r="R55" s="4"/>
    </row>
    <row r="56" spans="1:18" ht="30.95" outlineLevel="1">
      <c r="A56" s="4"/>
      <c r="B56" s="4"/>
      <c r="C56" s="7"/>
      <c r="D56" s="18" t="s">
        <v>1366</v>
      </c>
      <c r="E56" s="18" t="s">
        <v>1367</v>
      </c>
      <c r="F56" s="325">
        <v>0.98</v>
      </c>
      <c r="G56" s="326">
        <f ca="1">(E27) - Table4725107116[[#This Row],[SLA]]*(E27)</f>
        <v>7.3000000000000114</v>
      </c>
      <c r="H56" s="326">
        <f ca="1">(24*E27) - Table4725107116[[#This Row],[SLA]]*(24*E27)</f>
        <v>175.20000000000073</v>
      </c>
      <c r="I56" s="326">
        <f ca="1">Table4725107116[[#This Row],[Downtime/Year (Hours)]]*60</f>
        <v>10512.000000000044</v>
      </c>
      <c r="J56" s="326">
        <f ca="1">Table4725107116[[#This Row],[Downtime/Month (Hours)]]/24</f>
        <v>0.60833333333333584</v>
      </c>
      <c r="K56" s="326">
        <f ca="1">Table4725107116[[#This Row],[Downtime/Year (Hours)]]/12</f>
        <v>14.60000000000006</v>
      </c>
      <c r="L56" s="326">
        <f ca="1">Table4725107116[[#This Row],[Downtime/Month (Hours)]]*60</f>
        <v>876.00000000000364</v>
      </c>
      <c r="M56" s="325">
        <v>0.66</v>
      </c>
      <c r="N56" s="327">
        <v>1</v>
      </c>
      <c r="O56" s="329">
        <v>1</v>
      </c>
      <c r="P56" s="329">
        <v>8</v>
      </c>
      <c r="Q56" s="129"/>
      <c r="R56" s="4"/>
    </row>
    <row r="57" spans="1:18" ht="16.5" outlineLevel="1">
      <c r="A57" s="4"/>
      <c r="B57" s="4"/>
      <c r="C57" s="7"/>
      <c r="D57" s="18" t="s">
        <v>1368</v>
      </c>
      <c r="E57" s="18" t="s">
        <v>1367</v>
      </c>
      <c r="F57" s="325">
        <v>0.99</v>
      </c>
      <c r="G57" s="326">
        <f ca="1">(E27) - Table4725107116[[#This Row],[SLA]]*(E27)</f>
        <v>3.6499999999999773</v>
      </c>
      <c r="H57" s="326">
        <f ca="1">(24*E27) - Table4725107116[[#This Row],[SLA]]*(24*E27)</f>
        <v>87.600000000000364</v>
      </c>
      <c r="I57" s="326">
        <f ca="1">Table4725107116[[#This Row],[Downtime/Year (Hours)]]*60</f>
        <v>5256.0000000000218</v>
      </c>
      <c r="J57" s="326">
        <f ca="1">Table4725107116[[#This Row],[Downtime/Month (Hours)]]/24</f>
        <v>0.30416666666666792</v>
      </c>
      <c r="K57" s="326">
        <f ca="1">Table4725107116[[#This Row],[Downtime/Year (Hours)]]/12</f>
        <v>7.30000000000003</v>
      </c>
      <c r="L57" s="326">
        <f ca="1">Table4725107116[[#This Row],[Downtime/Month (Hours)]]*60</f>
        <v>438.00000000000182</v>
      </c>
      <c r="M57" s="325">
        <v>0.66</v>
      </c>
      <c r="N57" s="327">
        <v>1</v>
      </c>
      <c r="O57" s="329">
        <v>1</v>
      </c>
      <c r="P57" s="329">
        <v>8</v>
      </c>
      <c r="Q57" s="129"/>
      <c r="R57" s="4"/>
    </row>
    <row r="58" spans="1:18" ht="15" outlineLevel="1" thickBot="1">
      <c r="A58" s="4"/>
      <c r="B58" s="4"/>
      <c r="C58" s="7"/>
      <c r="D58" s="409" t="s">
        <v>1369</v>
      </c>
      <c r="E58" s="410"/>
      <c r="F58" s="411">
        <f>F48*F49*F50*F51*F52*F53*F54*F55*F56*F57</f>
        <v>0.96661555330610061</v>
      </c>
      <c r="G58" s="412">
        <f ca="1">(E27) - Table4725107116[[#This Row],[SLA]]*(E27)</f>
        <v>12.185323043273286</v>
      </c>
      <c r="H58" s="412">
        <f ca="1">(24*E27) - Table4725107116[[#This Row],[SLA]]*(24*E27)</f>
        <v>292.44775303855931</v>
      </c>
      <c r="I58" s="412">
        <f ca="1">Table4725107116[[#This Row],[Downtime/Year (Hours)]]*60</f>
        <v>17546.865182313559</v>
      </c>
      <c r="J58" s="412">
        <f ca="1">Table4725107116[[#This Row],[Downtime/Month (Hours)]]/24</f>
        <v>1.015443586939442</v>
      </c>
      <c r="K58" s="412">
        <f ca="1">Table4725107116[[#This Row],[Downtime/Year (Hours)]]/12</f>
        <v>24.370646086546611</v>
      </c>
      <c r="L58" s="412">
        <f ca="1">Table4725107116[[#This Row],[Downtime/Month (Hours)]]*60</f>
        <v>1462.2387651927966</v>
      </c>
      <c r="M58" s="413">
        <f>M48*M49*M50*M51*M52*M53*M54*M55*M56*M57</f>
        <v>6.6708056250000007E-3</v>
      </c>
      <c r="N58" s="414">
        <f>N48*N49*N50*N51*N52*N53*N54*N55*N56*N57</f>
        <v>1</v>
      </c>
      <c r="O58" s="415"/>
      <c r="P58" s="415"/>
      <c r="Q58" s="130"/>
      <c r="R58" s="4"/>
    </row>
    <row r="59" spans="1:18" ht="15" outlineLevel="1" thickTop="1">
      <c r="A59" s="4"/>
      <c r="B59" s="4"/>
      <c r="C59" s="7"/>
      <c r="D59" s="7"/>
      <c r="E59" s="7"/>
      <c r="F59" s="7"/>
      <c r="G59" s="7"/>
      <c r="H59" s="7"/>
      <c r="I59" s="7"/>
      <c r="J59" s="7"/>
      <c r="K59" s="7"/>
      <c r="L59" s="7"/>
      <c r="M59" s="7"/>
      <c r="N59" s="7"/>
      <c r="O59" s="7"/>
      <c r="P59" s="7"/>
      <c r="Q59" s="7"/>
      <c r="R59" s="4"/>
    </row>
    <row r="60" spans="1:18">
      <c r="A60" s="4"/>
      <c r="B60" s="4"/>
      <c r="C60" s="4"/>
      <c r="D60" s="4"/>
      <c r="E60" s="4"/>
      <c r="F60" s="4"/>
      <c r="G60" s="4"/>
      <c r="H60" s="4"/>
      <c r="I60" s="4"/>
      <c r="J60" s="4"/>
      <c r="K60" s="4"/>
      <c r="L60" s="4"/>
      <c r="M60" s="4"/>
      <c r="N60" s="4"/>
      <c r="O60" s="4"/>
      <c r="P60" s="4"/>
      <c r="Q60" s="4"/>
      <c r="R60" s="4"/>
    </row>
    <row r="61" spans="1:18" ht="18.600000000000001">
      <c r="A61" s="4"/>
      <c r="B61" s="4"/>
      <c r="C61" s="102" t="s">
        <v>1370</v>
      </c>
      <c r="D61" s="102"/>
      <c r="E61" s="399"/>
      <c r="F61" s="102"/>
      <c r="G61" s="102"/>
      <c r="H61" s="102"/>
      <c r="I61" s="102"/>
      <c r="J61" s="102"/>
      <c r="K61" s="102"/>
      <c r="L61" s="102"/>
      <c r="M61" s="102"/>
      <c r="N61" s="102"/>
      <c r="O61" s="102"/>
      <c r="P61" s="102"/>
      <c r="Q61" s="102"/>
      <c r="R61" s="4"/>
    </row>
    <row r="62" spans="1:18" outlineLevel="1">
      <c r="A62" s="4"/>
      <c r="B62" s="4"/>
      <c r="C62" s="4"/>
      <c r="D62" s="4"/>
      <c r="E62" s="4"/>
      <c r="F62" s="4"/>
      <c r="G62" s="4"/>
      <c r="H62" s="4"/>
      <c r="I62" s="4"/>
      <c r="J62" s="4"/>
      <c r="K62" s="4"/>
      <c r="L62" s="4"/>
      <c r="M62" s="4"/>
      <c r="N62" s="4"/>
      <c r="O62" s="4"/>
      <c r="P62" s="4"/>
      <c r="Q62" s="4"/>
      <c r="R62" s="4"/>
    </row>
    <row r="63" spans="1:18" outlineLevel="1">
      <c r="A63" s="4"/>
      <c r="B63" s="4"/>
      <c r="C63" s="7"/>
      <c r="D63" s="70"/>
      <c r="E63" s="70"/>
      <c r="F63" s="7"/>
      <c r="G63" s="7"/>
      <c r="H63" s="7"/>
      <c r="I63" s="7"/>
      <c r="J63" s="7"/>
      <c r="K63" s="7"/>
      <c r="L63" s="7"/>
      <c r="M63" s="7"/>
      <c r="N63" s="7"/>
      <c r="O63" s="7"/>
      <c r="P63" s="7"/>
      <c r="Q63" s="7"/>
      <c r="R63" s="4"/>
    </row>
    <row r="64" spans="1:18" ht="16.5" outlineLevel="1">
      <c r="A64" s="4"/>
      <c r="B64" s="4"/>
      <c r="C64" s="54"/>
      <c r="D64" s="18" t="s">
        <v>1361</v>
      </c>
      <c r="E64" s="18" t="s">
        <v>1116</v>
      </c>
      <c r="F64" s="18" t="s">
        <v>207</v>
      </c>
      <c r="G64" s="18" t="s">
        <v>1347</v>
      </c>
      <c r="H64" s="18" t="s">
        <v>1348</v>
      </c>
      <c r="I64" s="18" t="s">
        <v>1349</v>
      </c>
      <c r="J64" s="18" t="s">
        <v>1350</v>
      </c>
      <c r="K64" s="18" t="s">
        <v>1351</v>
      </c>
      <c r="L64" s="18" t="s">
        <v>1352</v>
      </c>
      <c r="M64" s="18" t="s">
        <v>1353</v>
      </c>
      <c r="N64" s="18" t="s">
        <v>1354</v>
      </c>
      <c r="O64" s="18" t="s">
        <v>1362</v>
      </c>
      <c r="P64" s="18" t="s">
        <v>1363</v>
      </c>
      <c r="Q64" s="54"/>
      <c r="R64" s="4"/>
    </row>
    <row r="65" spans="1:18" ht="16.5" outlineLevel="1">
      <c r="A65" s="4"/>
      <c r="B65" s="4"/>
      <c r="C65" s="7"/>
      <c r="D65" s="18" t="s">
        <v>1364</v>
      </c>
      <c r="E65" s="16" t="s">
        <v>1365</v>
      </c>
      <c r="F65" s="325">
        <v>0.99990000000000001</v>
      </c>
      <c r="G65" s="326">
        <f ca="1">(E27) - Table472551108117[[#This Row],[SLA]]*(E27)</f>
        <v>3.6499999999989541E-2</v>
      </c>
      <c r="H65" s="326">
        <f ca="1">(24*E27) - Table472551108117[[#This Row],[SLA]]*(24*E27)</f>
        <v>0.87600000000020373</v>
      </c>
      <c r="I65" s="326">
        <f ca="1">Table472551108117[[#This Row],[Downtime/Year (Hours)]]*60</f>
        <v>52.560000000012224</v>
      </c>
      <c r="J65" s="326">
        <f ca="1">Table472551108117[[#This Row],[Downtime/Month (Hours)]]/24</f>
        <v>3.0416666666673742E-3</v>
      </c>
      <c r="K65" s="326">
        <f ca="1">Table472551108117[[#This Row],[Downtime/Year (Hours)]]/12</f>
        <v>7.3000000000016982E-2</v>
      </c>
      <c r="L65" s="326">
        <f ca="1">Table472551108117[[#This Row],[Downtime/Month (Hours)]]*60</f>
        <v>4.3800000000010186</v>
      </c>
      <c r="M65" s="325">
        <v>0.5</v>
      </c>
      <c r="N65" s="327">
        <v>1</v>
      </c>
      <c r="O65" s="128">
        <v>0</v>
      </c>
      <c r="P65" s="128">
        <v>1</v>
      </c>
      <c r="Q65" s="129"/>
      <c r="R65" s="4"/>
    </row>
    <row r="66" spans="1:18" outlineLevel="1">
      <c r="A66" s="4"/>
      <c r="B66" s="4"/>
      <c r="C66" s="7"/>
      <c r="D66" s="18" t="s">
        <v>977</v>
      </c>
      <c r="E66" s="16" t="s">
        <v>1365</v>
      </c>
      <c r="F66" s="325">
        <v>1</v>
      </c>
      <c r="G66" s="326">
        <f ca="1">(E27) - Table472551108117[[#This Row],[SLA]]*(E27)</f>
        <v>0</v>
      </c>
      <c r="H66" s="326">
        <f ca="1">(24*E27) - Table472551108117[[#This Row],[SLA]]*(24*E27)</f>
        <v>0</v>
      </c>
      <c r="I66" s="326">
        <f ca="1">Table472551108117[[#This Row],[Downtime/Year (Hours)]]*60</f>
        <v>0</v>
      </c>
      <c r="J66" s="326">
        <f ca="1">Table472551108117[[#This Row],[Downtime/Month (Hours)]]/24</f>
        <v>0</v>
      </c>
      <c r="K66" s="326">
        <f ca="1">Table472551108117[[#This Row],[Downtime/Year (Hours)]]/12</f>
        <v>0</v>
      </c>
      <c r="L66" s="326">
        <f ca="1">Table472551108117[[#This Row],[Downtime/Month (Hours)]]*60</f>
        <v>0</v>
      </c>
      <c r="M66" s="325">
        <v>0.5</v>
      </c>
      <c r="N66" s="327">
        <v>1</v>
      </c>
      <c r="O66" s="128">
        <v>0</v>
      </c>
      <c r="P66" s="128">
        <v>1</v>
      </c>
      <c r="Q66" s="129"/>
      <c r="R66" s="4"/>
    </row>
    <row r="67" spans="1:18" outlineLevel="1">
      <c r="A67" s="4"/>
      <c r="B67" s="4"/>
      <c r="C67" s="7"/>
      <c r="D67" s="18" t="s">
        <v>975</v>
      </c>
      <c r="E67" s="16" t="s">
        <v>1365</v>
      </c>
      <c r="F67" s="325">
        <v>0.99950000000000006</v>
      </c>
      <c r="G67" s="326">
        <f ca="1">(E27) - Table472551108117[[#This Row],[SLA]]*(E27)</f>
        <v>0.18250000000000455</v>
      </c>
      <c r="H67" s="326">
        <f ca="1">(24*E27) - Table472551108117[[#This Row],[SLA]]*(24*E27)</f>
        <v>4.3799999999991996</v>
      </c>
      <c r="I67" s="326">
        <f ca="1">Table472551108117[[#This Row],[Downtime/Year (Hours)]]*60</f>
        <v>262.79999999995198</v>
      </c>
      <c r="J67" s="326">
        <f ca="1">Table472551108117[[#This Row],[Downtime/Month (Hours)]]/24</f>
        <v>1.5208333333330555E-2</v>
      </c>
      <c r="K67" s="326">
        <f ca="1">Table472551108117[[#This Row],[Downtime/Year (Hours)]]/12</f>
        <v>0.36499999999993332</v>
      </c>
      <c r="L67" s="326">
        <f ca="1">Table472551108117[[#This Row],[Downtime/Month (Hours)]]*60</f>
        <v>21.899999999995998</v>
      </c>
      <c r="M67" s="325">
        <v>0.5</v>
      </c>
      <c r="N67" s="327">
        <v>1</v>
      </c>
      <c r="O67" s="128">
        <v>0</v>
      </c>
      <c r="P67" s="128">
        <v>1</v>
      </c>
      <c r="Q67" s="129"/>
      <c r="R67" s="4"/>
    </row>
    <row r="68" spans="1:18" outlineLevel="1">
      <c r="A68" s="4"/>
      <c r="B68" s="4"/>
      <c r="C68" s="7"/>
      <c r="D68" s="18" t="s">
        <v>982</v>
      </c>
      <c r="E68" s="16" t="s">
        <v>1365</v>
      </c>
      <c r="F68" s="325">
        <v>0.99990000000000001</v>
      </c>
      <c r="G68" s="326">
        <f ca="1">(E27) - Table472551108117[[#This Row],[SLA]]*(E27)</f>
        <v>3.6499999999989541E-2</v>
      </c>
      <c r="H68" s="326">
        <f ca="1">(24*E27) - Table472551108117[[#This Row],[SLA]]*(24*E27)</f>
        <v>0.87600000000020373</v>
      </c>
      <c r="I68" s="326">
        <f ca="1">Table472551108117[[#This Row],[Downtime/Year (Hours)]]*60</f>
        <v>52.560000000012224</v>
      </c>
      <c r="J68" s="326">
        <f ca="1">Table472551108117[[#This Row],[Downtime/Month (Hours)]]/24</f>
        <v>3.0416666666673742E-3</v>
      </c>
      <c r="K68" s="326">
        <f ca="1">Table472551108117[[#This Row],[Downtime/Year (Hours)]]/12</f>
        <v>7.3000000000016982E-2</v>
      </c>
      <c r="L68" s="326">
        <f ca="1">Table472551108117[[#This Row],[Downtime/Month (Hours)]]*60</f>
        <v>4.3800000000010186</v>
      </c>
      <c r="M68" s="325">
        <v>0.75</v>
      </c>
      <c r="N68" s="327">
        <v>1</v>
      </c>
      <c r="O68" s="329">
        <v>1</v>
      </c>
      <c r="P68" s="329">
        <v>8</v>
      </c>
      <c r="Q68" s="129"/>
      <c r="R68" s="4"/>
    </row>
    <row r="69" spans="1:18" outlineLevel="1">
      <c r="A69" s="4"/>
      <c r="B69" s="4"/>
      <c r="C69" s="7"/>
      <c r="D69" s="18" t="s">
        <v>985</v>
      </c>
      <c r="E69" s="18" t="s">
        <v>1367</v>
      </c>
      <c r="F69" s="325">
        <v>0.99</v>
      </c>
      <c r="G69" s="326">
        <f ca="1">(E27) - Table472551108117[[#This Row],[SLA]]*(E27)</f>
        <v>3.6499999999999773</v>
      </c>
      <c r="H69" s="326">
        <f ca="1">(24*E27) - Table472551108117[[#This Row],[SLA]]*(24*E27)</f>
        <v>87.600000000000364</v>
      </c>
      <c r="I69" s="326">
        <f ca="1">Table472551108117[[#This Row],[Downtime/Year (Hours)]]*60</f>
        <v>5256.0000000000218</v>
      </c>
      <c r="J69" s="326">
        <f ca="1">Table472551108117[[#This Row],[Downtime/Month (Hours)]]/24</f>
        <v>0.30416666666666792</v>
      </c>
      <c r="K69" s="326">
        <f ca="1">Table472551108117[[#This Row],[Downtime/Year (Hours)]]/12</f>
        <v>7.30000000000003</v>
      </c>
      <c r="L69" s="326">
        <f ca="1">Table472551108117[[#This Row],[Downtime/Month (Hours)]]*60</f>
        <v>438.00000000000182</v>
      </c>
      <c r="M69" s="325">
        <v>0.66</v>
      </c>
      <c r="N69" s="327">
        <v>1</v>
      </c>
      <c r="O69" s="329">
        <v>1</v>
      </c>
      <c r="P69" s="329">
        <v>8</v>
      </c>
      <c r="Q69" s="129"/>
      <c r="R69" s="4"/>
    </row>
    <row r="70" spans="1:18" ht="15" outlineLevel="1" thickBot="1">
      <c r="A70" s="4"/>
      <c r="B70" s="4"/>
      <c r="C70" s="7"/>
      <c r="D70" s="402" t="s">
        <v>1369</v>
      </c>
      <c r="E70" s="403"/>
      <c r="F70" s="404">
        <f>F65*F66*F67*F68*F69</f>
        <v>0.98930710889505002</v>
      </c>
      <c r="G70" s="405">
        <f ca="1">(E27) - Table472551108117[[#This Row],[SLA]]*(E27)</f>
        <v>3.9029052533067556</v>
      </c>
      <c r="H70" s="405">
        <f ca="1">(24*E27) - Table472551108117[[#This Row],[SLA]]*(24*E27)</f>
        <v>93.66972607936259</v>
      </c>
      <c r="I70" s="405">
        <f ca="1">Table472551108117[[#This Row],[Downtime/Year (Hours)]]*60</f>
        <v>5620.1835647617554</v>
      </c>
      <c r="J70" s="405">
        <f ca="1">Table472551108117[[#This Row],[Downtime/Month (Hours)]]/24</f>
        <v>0.32524210444223123</v>
      </c>
      <c r="K70" s="405">
        <f ca="1">Table472551108117[[#This Row],[Downtime/Year (Hours)]]/12</f>
        <v>7.8058105066135495</v>
      </c>
      <c r="L70" s="405">
        <f ca="1">Table472551108117[[#This Row],[Downtime/Month (Hours)]]*60</f>
        <v>468.34863039681295</v>
      </c>
      <c r="M70" s="406">
        <f>M65*M66*M67*M68*M69</f>
        <v>6.1874999999999999E-2</v>
      </c>
      <c r="N70" s="407">
        <f>N65*N66*N67*N68*N69</f>
        <v>1</v>
      </c>
      <c r="O70" s="408"/>
      <c r="P70" s="408"/>
      <c r="Q70" s="130"/>
      <c r="R70" s="4"/>
    </row>
    <row r="71" spans="1:18" ht="15" outlineLevel="1" thickTop="1">
      <c r="A71" s="4"/>
      <c r="B71" s="4"/>
      <c r="C71" s="7"/>
      <c r="D71" s="7"/>
      <c r="E71" s="7"/>
      <c r="F71" s="7"/>
      <c r="G71" s="7"/>
      <c r="H71" s="7"/>
      <c r="I71" s="7"/>
      <c r="J71" s="7"/>
      <c r="K71" s="7"/>
      <c r="L71" s="7"/>
      <c r="M71" s="7"/>
      <c r="N71" s="7"/>
      <c r="O71" s="7"/>
      <c r="P71" s="7"/>
      <c r="Q71" s="7"/>
      <c r="R71" s="4"/>
    </row>
    <row r="72" spans="1:18">
      <c r="A72" s="4"/>
      <c r="B72" s="4"/>
      <c r="C72" s="4"/>
      <c r="D72" s="4"/>
      <c r="E72" s="4"/>
      <c r="F72" s="4"/>
      <c r="G72" s="4"/>
      <c r="H72" s="4"/>
      <c r="I72" s="4"/>
      <c r="J72" s="4"/>
      <c r="K72" s="4"/>
      <c r="L72" s="4"/>
      <c r="M72" s="4"/>
      <c r="N72" s="4"/>
      <c r="O72" s="4"/>
      <c r="P72" s="4"/>
      <c r="Q72" s="4"/>
      <c r="R72" s="4"/>
    </row>
    <row r="73" spans="1:18" ht="18.600000000000001">
      <c r="A73" s="4"/>
      <c r="B73" s="4"/>
      <c r="C73" s="102" t="s">
        <v>1371</v>
      </c>
      <c r="D73" s="102"/>
      <c r="E73" s="399"/>
      <c r="F73" s="102"/>
      <c r="G73" s="102"/>
      <c r="H73" s="102"/>
      <c r="I73" s="102"/>
      <c r="J73" s="102"/>
      <c r="K73" s="102"/>
      <c r="L73" s="102"/>
      <c r="M73" s="102"/>
      <c r="N73" s="102"/>
      <c r="O73" s="102"/>
      <c r="P73" s="102"/>
      <c r="Q73" s="102"/>
      <c r="R73" s="4"/>
    </row>
    <row r="74" spans="1:18" outlineLevel="1">
      <c r="A74" s="4"/>
      <c r="B74" s="4"/>
      <c r="C74" s="4"/>
      <c r="D74" s="4"/>
      <c r="E74" s="4"/>
      <c r="F74" s="4"/>
      <c r="G74" s="4"/>
      <c r="H74" s="4"/>
      <c r="I74" s="4"/>
      <c r="J74" s="4"/>
      <c r="K74" s="4"/>
      <c r="L74" s="4"/>
      <c r="M74" s="4"/>
      <c r="N74" s="4"/>
      <c r="O74" s="4"/>
      <c r="P74" s="4"/>
      <c r="Q74" s="4"/>
      <c r="R74" s="4"/>
    </row>
    <row r="75" spans="1:18" outlineLevel="1">
      <c r="A75" s="4"/>
      <c r="B75" s="4"/>
      <c r="C75" s="7"/>
      <c r="D75" s="70"/>
      <c r="E75" s="70"/>
      <c r="F75" s="7"/>
      <c r="G75" s="7"/>
      <c r="H75" s="7"/>
      <c r="I75" s="7"/>
      <c r="J75" s="7"/>
      <c r="K75" s="7"/>
      <c r="L75" s="7"/>
      <c r="M75" s="7"/>
      <c r="N75" s="7"/>
      <c r="O75" s="7"/>
      <c r="P75" s="7"/>
      <c r="Q75" s="7"/>
      <c r="R75" s="4"/>
    </row>
    <row r="76" spans="1:18" ht="16.5" outlineLevel="1">
      <c r="A76" s="4"/>
      <c r="B76" s="4"/>
      <c r="C76" s="54"/>
      <c r="D76" s="18" t="s">
        <v>1361</v>
      </c>
      <c r="E76" s="18" t="s">
        <v>1116</v>
      </c>
      <c r="F76" s="18" t="s">
        <v>207</v>
      </c>
      <c r="G76" s="18" t="s">
        <v>1347</v>
      </c>
      <c r="H76" s="18" t="s">
        <v>1348</v>
      </c>
      <c r="I76" s="18" t="s">
        <v>1349</v>
      </c>
      <c r="J76" s="18" t="s">
        <v>1350</v>
      </c>
      <c r="K76" s="18" t="s">
        <v>1351</v>
      </c>
      <c r="L76" s="18" t="s">
        <v>1352</v>
      </c>
      <c r="M76" s="18" t="s">
        <v>1353</v>
      </c>
      <c r="N76" s="18" t="s">
        <v>1354</v>
      </c>
      <c r="O76" s="18" t="s">
        <v>1362</v>
      </c>
      <c r="P76" s="18" t="s">
        <v>1363</v>
      </c>
      <c r="Q76" s="54"/>
      <c r="R76" s="4"/>
    </row>
    <row r="77" spans="1:18" ht="16.5" outlineLevel="1">
      <c r="A77" s="4"/>
      <c r="B77" s="4"/>
      <c r="C77" s="7"/>
      <c r="D77" s="18" t="s">
        <v>1364</v>
      </c>
      <c r="E77" s="16" t="s">
        <v>1365</v>
      </c>
      <c r="F77" s="325">
        <v>0.99990000000000001</v>
      </c>
      <c r="G77" s="326">
        <f ca="1">(E27) - Table472556109118[[#This Row],[SLA]]*(E27)</f>
        <v>3.6499999999989541E-2</v>
      </c>
      <c r="H77" s="326">
        <f ca="1">(24*E27) - Table472556109118[[#This Row],[SLA]]*(24*E27)</f>
        <v>0.87600000000020373</v>
      </c>
      <c r="I77" s="326">
        <f ca="1">Table472556109118[[#This Row],[Downtime/Year (Hours)]]*60</f>
        <v>52.560000000012224</v>
      </c>
      <c r="J77" s="326">
        <f ca="1">Table472556109118[[#This Row],[Downtime/Month (Hours)]]/24</f>
        <v>3.0416666666673742E-3</v>
      </c>
      <c r="K77" s="326">
        <f ca="1">Table472556109118[[#This Row],[Downtime/Year (Hours)]]/12</f>
        <v>7.3000000000016982E-2</v>
      </c>
      <c r="L77" s="326">
        <f ca="1">Table472556109118[[#This Row],[Downtime/Month (Hours)]]*60</f>
        <v>4.3800000000010186</v>
      </c>
      <c r="M77" s="325">
        <v>0.5</v>
      </c>
      <c r="N77" s="327">
        <v>1</v>
      </c>
      <c r="O77" s="128">
        <v>0</v>
      </c>
      <c r="P77" s="128">
        <v>1</v>
      </c>
      <c r="Q77" s="129"/>
      <c r="R77" s="4"/>
    </row>
    <row r="78" spans="1:18" outlineLevel="1">
      <c r="A78" s="4"/>
      <c r="B78" s="4"/>
      <c r="C78" s="7"/>
      <c r="D78" s="18" t="s">
        <v>977</v>
      </c>
      <c r="E78" s="16" t="s">
        <v>1365</v>
      </c>
      <c r="F78" s="325">
        <v>1</v>
      </c>
      <c r="G78" s="326">
        <f ca="1">(E27) - Table472556109118[[#This Row],[SLA]]*(E27)</f>
        <v>0</v>
      </c>
      <c r="H78" s="326">
        <f ca="1">(24*E27) - Table472556109118[[#This Row],[SLA]]*(24*E27)</f>
        <v>0</v>
      </c>
      <c r="I78" s="326">
        <f ca="1">Table472556109118[[#This Row],[Downtime/Year (Hours)]]*60</f>
        <v>0</v>
      </c>
      <c r="J78" s="326">
        <f ca="1">Table472556109118[[#This Row],[Downtime/Month (Hours)]]/24</f>
        <v>0</v>
      </c>
      <c r="K78" s="326">
        <f ca="1">Table472556109118[[#This Row],[Downtime/Year (Hours)]]/12</f>
        <v>0</v>
      </c>
      <c r="L78" s="326">
        <f ca="1">Table472556109118[[#This Row],[Downtime/Month (Hours)]]*60</f>
        <v>0</v>
      </c>
      <c r="M78" s="325">
        <v>0.5</v>
      </c>
      <c r="N78" s="327">
        <v>1</v>
      </c>
      <c r="O78" s="128">
        <v>0</v>
      </c>
      <c r="P78" s="128">
        <v>1</v>
      </c>
      <c r="Q78" s="129"/>
      <c r="R78" s="4"/>
    </row>
    <row r="79" spans="1:18" outlineLevel="1">
      <c r="A79" s="4"/>
      <c r="B79" s="4"/>
      <c r="C79" s="7"/>
      <c r="D79" s="18" t="s">
        <v>975</v>
      </c>
      <c r="E79" s="16" t="s">
        <v>1365</v>
      </c>
      <c r="F79" s="325">
        <v>0.99950000000000006</v>
      </c>
      <c r="G79" s="326">
        <f ca="1">(E27) - Table472556109118[[#This Row],[SLA]]*(E27)</f>
        <v>0.18250000000000455</v>
      </c>
      <c r="H79" s="326">
        <f ca="1">(24*E27) - Table472556109118[[#This Row],[SLA]]*(24*E27)</f>
        <v>4.3799999999991996</v>
      </c>
      <c r="I79" s="326">
        <f ca="1">Table472556109118[[#This Row],[Downtime/Year (Hours)]]*60</f>
        <v>262.79999999995198</v>
      </c>
      <c r="J79" s="326">
        <f ca="1">Table472556109118[[#This Row],[Downtime/Month (Hours)]]/24</f>
        <v>1.5208333333330555E-2</v>
      </c>
      <c r="K79" s="326">
        <f ca="1">Table472556109118[[#This Row],[Downtime/Year (Hours)]]/12</f>
        <v>0.36499999999993332</v>
      </c>
      <c r="L79" s="326">
        <f ca="1">Table472556109118[[#This Row],[Downtime/Month (Hours)]]*60</f>
        <v>21.899999999995998</v>
      </c>
      <c r="M79" s="325">
        <v>0.5</v>
      </c>
      <c r="N79" s="327">
        <v>1</v>
      </c>
      <c r="O79" s="128">
        <v>0</v>
      </c>
      <c r="P79" s="128">
        <v>1</v>
      </c>
      <c r="Q79" s="129"/>
      <c r="R79" s="4"/>
    </row>
    <row r="80" spans="1:18" outlineLevel="1">
      <c r="A80" s="4"/>
      <c r="B80" s="4"/>
      <c r="C80" s="7"/>
      <c r="D80" s="18" t="s">
        <v>982</v>
      </c>
      <c r="E80" s="16" t="s">
        <v>1365</v>
      </c>
      <c r="F80" s="325">
        <v>0.99990000000000001</v>
      </c>
      <c r="G80" s="326">
        <f ca="1">(E27) - Table472556109118[[#This Row],[SLA]]*(E27)</f>
        <v>3.6499999999989541E-2</v>
      </c>
      <c r="H80" s="326">
        <f ca="1">(24*E27) - Table472556109118[[#This Row],[SLA]]*(24*E27)</f>
        <v>0.87600000000020373</v>
      </c>
      <c r="I80" s="326">
        <f ca="1">Table472556109118[[#This Row],[Downtime/Year (Hours)]]*60</f>
        <v>52.560000000012224</v>
      </c>
      <c r="J80" s="326">
        <f ca="1">Table472556109118[[#This Row],[Downtime/Month (Hours)]]/24</f>
        <v>3.0416666666673742E-3</v>
      </c>
      <c r="K80" s="326">
        <f ca="1">Table472556109118[[#This Row],[Downtime/Year (Hours)]]/12</f>
        <v>7.3000000000016982E-2</v>
      </c>
      <c r="L80" s="326">
        <f ca="1">Table472556109118[[#This Row],[Downtime/Month (Hours)]]*60</f>
        <v>4.3800000000010186</v>
      </c>
      <c r="M80" s="325">
        <v>0.75</v>
      </c>
      <c r="N80" s="327">
        <v>1</v>
      </c>
      <c r="O80" s="329">
        <v>1</v>
      </c>
      <c r="P80" s="329">
        <v>8</v>
      </c>
      <c r="Q80" s="129"/>
      <c r="R80" s="4"/>
    </row>
    <row r="81" spans="1:18" ht="15" outlineLevel="1" thickBot="1">
      <c r="A81" s="4"/>
      <c r="B81" s="4"/>
      <c r="C81" s="7"/>
      <c r="D81" s="402" t="s">
        <v>1369</v>
      </c>
      <c r="E81" s="403"/>
      <c r="F81" s="404">
        <f>F77*F78*F79*F80</f>
        <v>0.99930010999500007</v>
      </c>
      <c r="G81" s="405">
        <f ca="1">(E27) - Table472556109118[[#This Row],[SLA]]*(E27)</f>
        <v>0.25545985182498043</v>
      </c>
      <c r="H81" s="405">
        <f ca="1">(24*E27) - Table472556109118[[#This Row],[SLA]]*(24*E27)</f>
        <v>6.1310364437995304</v>
      </c>
      <c r="I81" s="405">
        <f ca="1">Table472556109118[[#This Row],[Downtime/Year (Hours)]]*60</f>
        <v>367.86218662797182</v>
      </c>
      <c r="J81" s="405">
        <f ca="1">Table472556109118[[#This Row],[Downtime/Month (Hours)]]/24</f>
        <v>2.1288320985415037E-2</v>
      </c>
      <c r="K81" s="405">
        <f ca="1">Table472556109118[[#This Row],[Downtime/Year (Hours)]]/12</f>
        <v>0.51091970364996087</v>
      </c>
      <c r="L81" s="405">
        <f ca="1">Table472556109118[[#This Row],[Downtime/Month (Hours)]]*60</f>
        <v>30.655182218997652</v>
      </c>
      <c r="M81" s="406">
        <f>M77*M78*M79*M80</f>
        <v>9.375E-2</v>
      </c>
      <c r="N81" s="407">
        <f>N77*N78*N79*N80</f>
        <v>1</v>
      </c>
      <c r="O81" s="408">
        <f>SUM(O77:O80)</f>
        <v>1</v>
      </c>
      <c r="P81" s="408">
        <f>SUM(P77:P80)</f>
        <v>11</v>
      </c>
      <c r="Q81" s="130"/>
      <c r="R81" s="4"/>
    </row>
    <row r="82" spans="1:18" ht="15" outlineLevel="1" thickTop="1">
      <c r="A82" s="4"/>
      <c r="B82" s="4"/>
      <c r="C82" s="7"/>
      <c r="D82" s="7"/>
      <c r="E82" s="7"/>
      <c r="F82" s="7"/>
      <c r="G82" s="7"/>
      <c r="H82" s="7"/>
      <c r="I82" s="7"/>
      <c r="J82" s="7"/>
      <c r="K82" s="7"/>
      <c r="L82" s="7"/>
      <c r="M82" s="7"/>
      <c r="N82" s="7"/>
      <c r="O82" s="7"/>
      <c r="P82" s="7"/>
      <c r="Q82" s="7"/>
      <c r="R82" s="4"/>
    </row>
    <row r="83" spans="1:18">
      <c r="A83" s="4"/>
      <c r="B83" s="4"/>
      <c r="C83" s="4"/>
      <c r="D83" s="4"/>
      <c r="E83" s="4"/>
      <c r="F83" s="4"/>
      <c r="G83" s="4"/>
      <c r="H83" s="4"/>
      <c r="I83" s="4"/>
      <c r="J83" s="4"/>
      <c r="K83" s="4"/>
      <c r="L83" s="4"/>
      <c r="M83" s="4"/>
      <c r="N83" s="4"/>
      <c r="O83" s="4"/>
      <c r="P83" s="4"/>
      <c r="Q83" s="4"/>
      <c r="R83" s="4"/>
    </row>
    <row r="84" spans="1:18" ht="18.600000000000001">
      <c r="A84" s="4"/>
      <c r="B84" s="4"/>
      <c r="C84" s="102" t="s">
        <v>1372</v>
      </c>
      <c r="D84" s="102"/>
      <c r="E84" s="399"/>
      <c r="F84" s="102"/>
      <c r="G84" s="102"/>
      <c r="H84" s="102"/>
      <c r="I84" s="102"/>
      <c r="J84" s="102"/>
      <c r="K84" s="102"/>
      <c r="L84" s="102"/>
      <c r="M84" s="102"/>
      <c r="N84" s="102"/>
      <c r="O84" s="102"/>
      <c r="P84" s="102"/>
      <c r="Q84" s="102"/>
      <c r="R84" s="4"/>
    </row>
    <row r="85" spans="1:18" outlineLevel="1">
      <c r="A85" s="4"/>
      <c r="B85" s="4"/>
      <c r="C85" s="4"/>
      <c r="D85" s="4"/>
      <c r="E85" s="4"/>
      <c r="F85" s="4"/>
      <c r="G85" s="4"/>
      <c r="H85" s="4"/>
      <c r="I85" s="4"/>
      <c r="J85" s="4"/>
      <c r="K85" s="4"/>
      <c r="L85" s="4"/>
      <c r="M85" s="4"/>
      <c r="N85" s="4"/>
      <c r="O85" s="4"/>
      <c r="P85" s="4"/>
      <c r="Q85" s="4"/>
      <c r="R85" s="4"/>
    </row>
    <row r="86" spans="1:18" outlineLevel="1">
      <c r="A86" s="4"/>
      <c r="B86" s="4"/>
      <c r="C86" s="7"/>
      <c r="D86" s="70"/>
      <c r="E86" s="70"/>
      <c r="F86" s="7"/>
      <c r="G86" s="7"/>
      <c r="H86" s="7"/>
      <c r="I86" s="7"/>
      <c r="J86" s="7"/>
      <c r="K86" s="7"/>
      <c r="L86" s="7"/>
      <c r="M86" s="7"/>
      <c r="N86" s="7"/>
      <c r="O86" s="7"/>
      <c r="P86" s="7"/>
      <c r="Q86" s="7"/>
      <c r="R86" s="4"/>
    </row>
    <row r="87" spans="1:18" ht="16.5" outlineLevel="1">
      <c r="A87" s="4"/>
      <c r="B87" s="4"/>
      <c r="C87" s="54"/>
      <c r="D87" s="18" t="s">
        <v>1361</v>
      </c>
      <c r="E87" s="18" t="s">
        <v>1116</v>
      </c>
      <c r="F87" s="18" t="s">
        <v>207</v>
      </c>
      <c r="G87" s="18" t="s">
        <v>1347</v>
      </c>
      <c r="H87" s="18" t="s">
        <v>1348</v>
      </c>
      <c r="I87" s="18" t="s">
        <v>1349</v>
      </c>
      <c r="J87" s="18" t="s">
        <v>1350</v>
      </c>
      <c r="K87" s="18" t="s">
        <v>1351</v>
      </c>
      <c r="L87" s="18" t="s">
        <v>1352</v>
      </c>
      <c r="M87" s="18" t="s">
        <v>1353</v>
      </c>
      <c r="N87" s="18" t="s">
        <v>1354</v>
      </c>
      <c r="O87" s="18" t="s">
        <v>1362</v>
      </c>
      <c r="P87" s="18" t="s">
        <v>1363</v>
      </c>
      <c r="Q87" s="54"/>
      <c r="R87" s="4"/>
    </row>
    <row r="88" spans="1:18" ht="16.5" outlineLevel="1">
      <c r="A88" s="4"/>
      <c r="B88" s="4"/>
      <c r="C88" s="7"/>
      <c r="D88" s="18" t="s">
        <v>1364</v>
      </c>
      <c r="E88" s="16" t="s">
        <v>1365</v>
      </c>
      <c r="F88" s="325">
        <v>0.99990000000000001</v>
      </c>
      <c r="G88" s="326">
        <f ca="1">(E27) - Table472591110119[[#This Row],[SLA]]*(E27)</f>
        <v>3.6499999999989541E-2</v>
      </c>
      <c r="H88" s="326">
        <f ca="1">(24*E27) - Table472591110119[[#This Row],[SLA]]*(24*E27)</f>
        <v>0.87600000000020373</v>
      </c>
      <c r="I88" s="326">
        <f ca="1">Table472591110119[[#This Row],[Downtime/Year (Hours)]]*60</f>
        <v>52.560000000012224</v>
      </c>
      <c r="J88" s="326">
        <f ca="1">Table472591110119[[#This Row],[Downtime/Month (Hours)]]/24</f>
        <v>3.0416666666673742E-3</v>
      </c>
      <c r="K88" s="326">
        <f ca="1">Table472591110119[[#This Row],[Downtime/Year (Hours)]]/12</f>
        <v>7.3000000000016982E-2</v>
      </c>
      <c r="L88" s="326">
        <f ca="1">Table472591110119[[#This Row],[Downtime/Month (Hours)]]*60</f>
        <v>4.3800000000010186</v>
      </c>
      <c r="M88" s="325">
        <v>0.5</v>
      </c>
      <c r="N88" s="327">
        <v>1</v>
      </c>
      <c r="O88" s="128">
        <v>0</v>
      </c>
      <c r="P88" s="128">
        <v>1</v>
      </c>
      <c r="Q88" s="129"/>
      <c r="R88" s="4"/>
    </row>
    <row r="89" spans="1:18" outlineLevel="1">
      <c r="A89" s="4"/>
      <c r="B89" s="4"/>
      <c r="C89" s="7"/>
      <c r="D89" s="18" t="s">
        <v>977</v>
      </c>
      <c r="E89" s="16" t="s">
        <v>1365</v>
      </c>
      <c r="F89" s="325">
        <v>1</v>
      </c>
      <c r="G89" s="326">
        <f ca="1">(E27) - Table472591110119[[#This Row],[SLA]]*(E27)</f>
        <v>0</v>
      </c>
      <c r="H89" s="326">
        <f ca="1">(24*E27) - Table472591110119[[#This Row],[SLA]]*(24*E27)</f>
        <v>0</v>
      </c>
      <c r="I89" s="326">
        <f ca="1">Table472591110119[[#This Row],[Downtime/Year (Hours)]]*60</f>
        <v>0</v>
      </c>
      <c r="J89" s="326">
        <f ca="1">Table472591110119[[#This Row],[Downtime/Month (Hours)]]/24</f>
        <v>0</v>
      </c>
      <c r="K89" s="326">
        <f ca="1">Table472591110119[[#This Row],[Downtime/Year (Hours)]]/12</f>
        <v>0</v>
      </c>
      <c r="L89" s="326">
        <f ca="1">Table472591110119[[#This Row],[Downtime/Month (Hours)]]*60</f>
        <v>0</v>
      </c>
      <c r="M89" s="325">
        <v>0.5</v>
      </c>
      <c r="N89" s="327">
        <v>1</v>
      </c>
      <c r="O89" s="128">
        <v>0</v>
      </c>
      <c r="P89" s="128">
        <v>1</v>
      </c>
      <c r="Q89" s="129"/>
      <c r="R89" s="4"/>
    </row>
    <row r="90" spans="1:18" outlineLevel="1">
      <c r="A90" s="4"/>
      <c r="B90" s="4"/>
      <c r="C90" s="7"/>
      <c r="D90" s="18" t="s">
        <v>975</v>
      </c>
      <c r="E90" s="16" t="s">
        <v>1365</v>
      </c>
      <c r="F90" s="325">
        <v>0.99950000000000006</v>
      </c>
      <c r="G90" s="326">
        <f ca="1">(E27) - Table472591110119[[#This Row],[SLA]]*(E27)</f>
        <v>0.18250000000000455</v>
      </c>
      <c r="H90" s="326">
        <f ca="1">(24*E27) - Table472591110119[[#This Row],[SLA]]*(24*E27)</f>
        <v>4.3799999999991996</v>
      </c>
      <c r="I90" s="326">
        <f ca="1">Table472591110119[[#This Row],[Downtime/Year (Hours)]]*60</f>
        <v>262.79999999995198</v>
      </c>
      <c r="J90" s="326">
        <f ca="1">Table472591110119[[#This Row],[Downtime/Month (Hours)]]/24</f>
        <v>1.5208333333330555E-2</v>
      </c>
      <c r="K90" s="326">
        <f ca="1">Table472591110119[[#This Row],[Downtime/Year (Hours)]]/12</f>
        <v>0.36499999999993332</v>
      </c>
      <c r="L90" s="326">
        <f ca="1">Table472591110119[[#This Row],[Downtime/Month (Hours)]]*60</f>
        <v>21.899999999995998</v>
      </c>
      <c r="M90" s="325">
        <v>0.5</v>
      </c>
      <c r="N90" s="327">
        <v>1</v>
      </c>
      <c r="O90" s="128">
        <v>0</v>
      </c>
      <c r="P90" s="128">
        <v>1</v>
      </c>
      <c r="Q90" s="129"/>
      <c r="R90" s="4"/>
    </row>
    <row r="91" spans="1:18" outlineLevel="1">
      <c r="A91" s="4"/>
      <c r="B91" s="4"/>
      <c r="C91" s="7"/>
      <c r="D91" s="328" t="s">
        <v>981</v>
      </c>
      <c r="E91" s="16" t="s">
        <v>1365</v>
      </c>
      <c r="F91" s="325">
        <v>0.999</v>
      </c>
      <c r="G91" s="326">
        <f ca="1">(E27) - Table472591110119[[#This Row],[SLA]]*(E27)</f>
        <v>0.36500000000000909</v>
      </c>
      <c r="H91" s="326">
        <f ca="1">(24*E27) - Table472591110119[[#This Row],[SLA]]*(24*E27)</f>
        <v>8.7600000000002183</v>
      </c>
      <c r="I91" s="326">
        <f ca="1">Table472591110119[[#This Row],[Downtime/Year (Hours)]]*60</f>
        <v>525.6000000000131</v>
      </c>
      <c r="J91" s="326">
        <f ca="1">Table472591110119[[#This Row],[Downtime/Month (Hours)]]/24</f>
        <v>3.0416666666667425E-2</v>
      </c>
      <c r="K91" s="326">
        <f ca="1">Table472591110119[[#This Row],[Downtime/Year (Hours)]]/12</f>
        <v>0.73000000000001819</v>
      </c>
      <c r="L91" s="326">
        <f ca="1">Table472591110119[[#This Row],[Downtime/Month (Hours)]]*60</f>
        <v>43.800000000001091</v>
      </c>
      <c r="M91" s="325">
        <v>0.5</v>
      </c>
      <c r="N91" s="327">
        <v>1</v>
      </c>
      <c r="O91" s="128">
        <v>0</v>
      </c>
      <c r="P91" s="128">
        <v>1</v>
      </c>
      <c r="Q91" s="129"/>
      <c r="R91" s="4"/>
    </row>
    <row r="92" spans="1:18" outlineLevel="1">
      <c r="A92" s="4"/>
      <c r="B92" s="4"/>
      <c r="C92" s="7"/>
      <c r="D92" s="18" t="s">
        <v>979</v>
      </c>
      <c r="E92" s="16" t="s">
        <v>1365</v>
      </c>
      <c r="F92" s="325">
        <v>0.99950000000000006</v>
      </c>
      <c r="G92" s="326">
        <f ca="1">(E27) - Table472591110119[[#This Row],[SLA]]*(E27)</f>
        <v>0.18250000000000455</v>
      </c>
      <c r="H92" s="326">
        <f ca="1">(24*E27) - Table472591110119[[#This Row],[SLA]]*(24*E27)</f>
        <v>4.3799999999991996</v>
      </c>
      <c r="I92" s="326">
        <f ca="1">Table472591110119[[#This Row],[Downtime/Year (Hours)]]*60</f>
        <v>262.79999999995198</v>
      </c>
      <c r="J92" s="326">
        <f ca="1">Table472591110119[[#This Row],[Downtime/Month (Hours)]]/24</f>
        <v>1.5208333333330555E-2</v>
      </c>
      <c r="K92" s="326">
        <f ca="1">Table472591110119[[#This Row],[Downtime/Year (Hours)]]/12</f>
        <v>0.36499999999993332</v>
      </c>
      <c r="L92" s="326">
        <f ca="1">Table472591110119[[#This Row],[Downtime/Month (Hours)]]*60</f>
        <v>21.899999999995998</v>
      </c>
      <c r="M92" s="325">
        <v>0.75</v>
      </c>
      <c r="N92" s="327">
        <v>1</v>
      </c>
      <c r="O92" s="128">
        <v>0</v>
      </c>
      <c r="P92" s="128">
        <v>1</v>
      </c>
      <c r="Q92" s="129"/>
      <c r="R92" s="4"/>
    </row>
    <row r="93" spans="1:18" outlineLevel="1">
      <c r="A93" s="4"/>
      <c r="B93" s="4"/>
      <c r="C93" s="7"/>
      <c r="D93" s="18" t="s">
        <v>980</v>
      </c>
      <c r="E93" s="16" t="s">
        <v>1365</v>
      </c>
      <c r="F93" s="325">
        <v>0.999</v>
      </c>
      <c r="G93" s="326">
        <f ca="1">(E27) - Table472591110119[[#This Row],[SLA]]*(E27)</f>
        <v>0.36500000000000909</v>
      </c>
      <c r="H93" s="326">
        <f ca="1">(24*E27) - Table472591110119[[#This Row],[SLA]]*(24*E27)</f>
        <v>8.7600000000002183</v>
      </c>
      <c r="I93" s="326">
        <f ca="1">Table472591110119[[#This Row],[Downtime/Year (Hours)]]*60</f>
        <v>525.6000000000131</v>
      </c>
      <c r="J93" s="326">
        <f ca="1">Table472591110119[[#This Row],[Downtime/Month (Hours)]]/24</f>
        <v>3.0416666666667425E-2</v>
      </c>
      <c r="K93" s="326">
        <f ca="1">Table472591110119[[#This Row],[Downtime/Year (Hours)]]/12</f>
        <v>0.73000000000001819</v>
      </c>
      <c r="L93" s="326">
        <f ca="1">Table472591110119[[#This Row],[Downtime/Month (Hours)]]*60</f>
        <v>43.800000000001091</v>
      </c>
      <c r="M93" s="325">
        <v>0.66</v>
      </c>
      <c r="N93" s="327">
        <v>1</v>
      </c>
      <c r="O93" s="128">
        <v>0</v>
      </c>
      <c r="P93" s="128">
        <v>1</v>
      </c>
      <c r="Q93" s="129"/>
      <c r="R93" s="4"/>
    </row>
    <row r="94" spans="1:18" outlineLevel="1">
      <c r="A94" s="4"/>
      <c r="B94" s="4"/>
      <c r="C94" s="7"/>
      <c r="D94" s="18" t="s">
        <v>982</v>
      </c>
      <c r="E94" s="16" t="s">
        <v>1365</v>
      </c>
      <c r="F94" s="325">
        <v>0.99990000000000001</v>
      </c>
      <c r="G94" s="326">
        <f ca="1">(E27) - Table472591110119[[#This Row],[SLA]]*(E27)</f>
        <v>3.6499999999989541E-2</v>
      </c>
      <c r="H94" s="326">
        <f ca="1">(24*E27) - Table472591110119[[#This Row],[SLA]]*(24*E27)</f>
        <v>0.87600000000020373</v>
      </c>
      <c r="I94" s="326">
        <f ca="1">Table472591110119[[#This Row],[Downtime/Year (Hours)]]*60</f>
        <v>52.560000000012224</v>
      </c>
      <c r="J94" s="326">
        <f ca="1">Table472591110119[[#This Row],[Downtime/Month (Hours)]]/24</f>
        <v>3.0416666666673742E-3</v>
      </c>
      <c r="K94" s="326">
        <f ca="1">Table472591110119[[#This Row],[Downtime/Year (Hours)]]/12</f>
        <v>7.3000000000016982E-2</v>
      </c>
      <c r="L94" s="326">
        <f ca="1">Table472591110119[[#This Row],[Downtime/Month (Hours)]]*60</f>
        <v>4.3800000000010186</v>
      </c>
      <c r="M94" s="325">
        <v>0.75</v>
      </c>
      <c r="N94" s="327">
        <v>1</v>
      </c>
      <c r="O94" s="329">
        <v>1</v>
      </c>
      <c r="P94" s="329">
        <v>8</v>
      </c>
      <c r="Q94" s="129"/>
      <c r="R94" s="4"/>
    </row>
    <row r="95" spans="1:18" ht="15" outlineLevel="1" thickBot="1">
      <c r="A95" s="4"/>
      <c r="B95" s="4"/>
      <c r="C95" s="7"/>
      <c r="D95" s="402" t="s">
        <v>1369</v>
      </c>
      <c r="E95" s="403"/>
      <c r="F95" s="404">
        <f>F88*F89*F90*F91*F92*F93*F94</f>
        <v>0.99680385782058267</v>
      </c>
      <c r="G95" s="405">
        <f ca="1">(E27) - Table472591110119[[#This Row],[SLA]]*(E27)</f>
        <v>1.1665918954873291</v>
      </c>
      <c r="H95" s="405">
        <f ca="1">(24*E27) - Table472591110119[[#This Row],[SLA]]*(24*E27)</f>
        <v>27.998205491696353</v>
      </c>
      <c r="I95" s="405">
        <f ca="1">Table472591110119[[#This Row],[Downtime/Year (Hours)]]*60</f>
        <v>1679.8923295017812</v>
      </c>
      <c r="J95" s="405">
        <f ca="1">Table472591110119[[#This Row],[Downtime/Month (Hours)]]/24</f>
        <v>9.7215991290612327E-2</v>
      </c>
      <c r="K95" s="405">
        <f ca="1">Table472591110119[[#This Row],[Downtime/Year (Hours)]]/12</f>
        <v>2.333183790974696</v>
      </c>
      <c r="L95" s="405">
        <f ca="1">Table472591110119[[#This Row],[Downtime/Month (Hours)]]*60</f>
        <v>139.99102745848177</v>
      </c>
      <c r="M95" s="406">
        <f>M88*M89*M90*M91*M92*M93*M94</f>
        <v>2.3203124999999998E-2</v>
      </c>
      <c r="N95" s="407">
        <f>N88*N89*N90*N91*N92*N93*N94</f>
        <v>1</v>
      </c>
      <c r="O95" s="408">
        <f>SUM(O88:O94)</f>
        <v>1</v>
      </c>
      <c r="P95" s="408">
        <f>SUM(P88:P94)</f>
        <v>14</v>
      </c>
      <c r="Q95" s="130"/>
      <c r="R95" s="4"/>
    </row>
    <row r="96" spans="1:18" ht="15" outlineLevel="1" thickTop="1">
      <c r="A96" s="4"/>
      <c r="B96" s="4"/>
      <c r="C96" s="7"/>
      <c r="D96" s="7"/>
      <c r="E96" s="7"/>
      <c r="F96" s="7"/>
      <c r="G96" s="7"/>
      <c r="H96" s="7"/>
      <c r="I96" s="7"/>
      <c r="J96" s="7"/>
      <c r="K96" s="7"/>
      <c r="L96" s="7"/>
      <c r="M96" s="7"/>
      <c r="N96" s="7"/>
      <c r="O96" s="7"/>
      <c r="P96" s="7"/>
      <c r="Q96" s="7"/>
      <c r="R96" s="4"/>
    </row>
    <row r="97" spans="1:18">
      <c r="A97" s="4"/>
      <c r="B97" s="4"/>
      <c r="C97" s="4"/>
      <c r="D97" s="4"/>
      <c r="E97" s="4"/>
      <c r="F97" s="4"/>
      <c r="G97" s="4"/>
      <c r="H97" s="4"/>
      <c r="I97" s="4"/>
      <c r="J97" s="4"/>
      <c r="K97" s="4"/>
      <c r="L97" s="4"/>
      <c r="M97" s="4"/>
      <c r="N97" s="4"/>
      <c r="O97" s="4"/>
      <c r="P97" s="4"/>
      <c r="Q97" s="4"/>
      <c r="R97" s="4"/>
    </row>
    <row r="98" spans="1:18" ht="18.600000000000001">
      <c r="A98" s="4"/>
      <c r="B98" s="4"/>
      <c r="C98" s="102" t="s">
        <v>1373</v>
      </c>
      <c r="D98" s="102"/>
      <c r="E98" s="399"/>
      <c r="F98" s="102"/>
      <c r="G98" s="102"/>
      <c r="H98" s="102"/>
      <c r="I98" s="102"/>
      <c r="J98" s="102"/>
      <c r="K98" s="102"/>
      <c r="L98" s="102"/>
      <c r="M98" s="102"/>
      <c r="N98" s="102"/>
      <c r="O98" s="102"/>
      <c r="P98" s="102"/>
      <c r="Q98" s="102"/>
      <c r="R98" s="4"/>
    </row>
    <row r="99" spans="1:18" outlineLevel="1">
      <c r="A99" s="4"/>
      <c r="B99" s="4"/>
      <c r="C99" s="4"/>
      <c r="D99" s="4"/>
      <c r="E99" s="4"/>
      <c r="F99" s="4"/>
      <c r="G99" s="4"/>
      <c r="H99" s="4"/>
      <c r="I99" s="4"/>
      <c r="J99" s="4"/>
      <c r="K99" s="4"/>
      <c r="L99" s="4"/>
      <c r="M99" s="4"/>
      <c r="N99" s="4"/>
      <c r="O99" s="4"/>
      <c r="P99" s="4"/>
      <c r="Q99" s="4"/>
      <c r="R99" s="4"/>
    </row>
    <row r="100" spans="1:18" outlineLevel="1">
      <c r="A100" s="4"/>
      <c r="B100" s="4"/>
      <c r="C100" s="7"/>
      <c r="D100" s="70"/>
      <c r="E100" s="70"/>
      <c r="F100" s="7"/>
      <c r="G100" s="7"/>
      <c r="H100" s="7"/>
      <c r="I100" s="7"/>
      <c r="J100" s="7"/>
      <c r="K100" s="7"/>
      <c r="L100" s="7"/>
      <c r="M100" s="7"/>
      <c r="N100" s="7"/>
      <c r="O100" s="7"/>
      <c r="P100" s="7"/>
      <c r="Q100" s="7"/>
      <c r="R100" s="4"/>
    </row>
    <row r="101" spans="1:18" ht="16.5" outlineLevel="1">
      <c r="A101" s="4"/>
      <c r="B101" s="4"/>
      <c r="C101" s="54"/>
      <c r="D101" s="18" t="s">
        <v>1361</v>
      </c>
      <c r="E101" s="18" t="s">
        <v>1116</v>
      </c>
      <c r="F101" s="18" t="s">
        <v>207</v>
      </c>
      <c r="G101" s="18" t="s">
        <v>1347</v>
      </c>
      <c r="H101" s="18" t="s">
        <v>1348</v>
      </c>
      <c r="I101" s="18" t="s">
        <v>1349</v>
      </c>
      <c r="J101" s="18" t="s">
        <v>1350</v>
      </c>
      <c r="K101" s="18" t="s">
        <v>1351</v>
      </c>
      <c r="L101" s="18" t="s">
        <v>1352</v>
      </c>
      <c r="M101" s="18" t="s">
        <v>1353</v>
      </c>
      <c r="N101" s="18" t="s">
        <v>1354</v>
      </c>
      <c r="O101" s="18" t="s">
        <v>1362</v>
      </c>
      <c r="P101" s="18" t="s">
        <v>1363</v>
      </c>
      <c r="Q101" s="54"/>
      <c r="R101" s="4"/>
    </row>
    <row r="102" spans="1:18" ht="16.5" outlineLevel="1">
      <c r="A102" s="4"/>
      <c r="B102" s="4"/>
      <c r="C102" s="7"/>
      <c r="D102" s="18" t="s">
        <v>1364</v>
      </c>
      <c r="E102" s="16" t="s">
        <v>1365</v>
      </c>
      <c r="F102" s="325">
        <v>0.99990000000000001</v>
      </c>
      <c r="G102" s="326">
        <f ca="1">(E27) - Table4725101111120[[#This Row],[SLA]]*(E27)</f>
        <v>3.6499999999989541E-2</v>
      </c>
      <c r="H102" s="326">
        <f ca="1">(24*E27) - Table4725101111120[[#This Row],[SLA]]*(24*E27)</f>
        <v>0.87600000000020373</v>
      </c>
      <c r="I102" s="326">
        <f ca="1">Table4725101111120[[#This Row],[Downtime/Year (Hours)]]*60</f>
        <v>52.560000000012224</v>
      </c>
      <c r="J102" s="326">
        <f ca="1">Table4725101111120[[#This Row],[Downtime/Month (Hours)]]/24</f>
        <v>3.0416666666673742E-3</v>
      </c>
      <c r="K102" s="326">
        <f ca="1">Table4725101111120[[#This Row],[Downtime/Year (Hours)]]/12</f>
        <v>7.3000000000016982E-2</v>
      </c>
      <c r="L102" s="326">
        <f ca="1">Table4725101111120[[#This Row],[Downtime/Month (Hours)]]*60</f>
        <v>4.3800000000010186</v>
      </c>
      <c r="M102" s="325">
        <v>0.5</v>
      </c>
      <c r="N102" s="327">
        <v>1</v>
      </c>
      <c r="O102" s="128">
        <v>0</v>
      </c>
      <c r="P102" s="128">
        <v>1</v>
      </c>
      <c r="Q102" s="129"/>
      <c r="R102" s="4"/>
    </row>
    <row r="103" spans="1:18" outlineLevel="1">
      <c r="A103" s="4"/>
      <c r="B103" s="4"/>
      <c r="C103" s="7"/>
      <c r="D103" s="18" t="s">
        <v>977</v>
      </c>
      <c r="E103" s="16" t="s">
        <v>1365</v>
      </c>
      <c r="F103" s="325">
        <v>1</v>
      </c>
      <c r="G103" s="326">
        <f ca="1">(E27) - Table4725101111120[[#This Row],[SLA]]*(E27)</f>
        <v>0</v>
      </c>
      <c r="H103" s="326">
        <f ca="1">(24*E27) - Table4725101111120[[#This Row],[SLA]]*(24*E27)</f>
        <v>0</v>
      </c>
      <c r="I103" s="326">
        <f ca="1">Table4725101111120[[#This Row],[Downtime/Year (Hours)]]*60</f>
        <v>0</v>
      </c>
      <c r="J103" s="326">
        <f ca="1">Table4725101111120[[#This Row],[Downtime/Month (Hours)]]/24</f>
        <v>0</v>
      </c>
      <c r="K103" s="326">
        <f ca="1">Table4725101111120[[#This Row],[Downtime/Year (Hours)]]/12</f>
        <v>0</v>
      </c>
      <c r="L103" s="326">
        <f ca="1">Table4725101111120[[#This Row],[Downtime/Month (Hours)]]*60</f>
        <v>0</v>
      </c>
      <c r="M103" s="325">
        <v>0.5</v>
      </c>
      <c r="N103" s="327">
        <v>1</v>
      </c>
      <c r="O103" s="128">
        <v>0</v>
      </c>
      <c r="P103" s="128">
        <v>1</v>
      </c>
      <c r="Q103" s="129"/>
      <c r="R103" s="4"/>
    </row>
    <row r="104" spans="1:18" outlineLevel="1">
      <c r="A104" s="4"/>
      <c r="B104" s="4"/>
      <c r="C104" s="7"/>
      <c r="D104" s="18" t="s">
        <v>975</v>
      </c>
      <c r="E104" s="16" t="s">
        <v>1365</v>
      </c>
      <c r="F104" s="325">
        <v>0.99950000000000006</v>
      </c>
      <c r="G104" s="326">
        <f ca="1">(E27) - Table4725101111120[[#This Row],[SLA]]*(E27)</f>
        <v>0.18250000000000455</v>
      </c>
      <c r="H104" s="326">
        <f ca="1">(24*E27) - Table4725101111120[[#This Row],[SLA]]*(24*E27)</f>
        <v>4.3799999999991996</v>
      </c>
      <c r="I104" s="326">
        <f ca="1">Table4725101111120[[#This Row],[Downtime/Year (Hours)]]*60</f>
        <v>262.79999999995198</v>
      </c>
      <c r="J104" s="326">
        <f ca="1">Table4725101111120[[#This Row],[Downtime/Month (Hours)]]/24</f>
        <v>1.5208333333330555E-2</v>
      </c>
      <c r="K104" s="326">
        <f ca="1">Table4725101111120[[#This Row],[Downtime/Year (Hours)]]/12</f>
        <v>0.36499999999993332</v>
      </c>
      <c r="L104" s="326">
        <f ca="1">Table4725101111120[[#This Row],[Downtime/Month (Hours)]]*60</f>
        <v>21.899999999995998</v>
      </c>
      <c r="M104" s="325">
        <v>0.5</v>
      </c>
      <c r="N104" s="327">
        <v>1</v>
      </c>
      <c r="O104" s="128">
        <v>0</v>
      </c>
      <c r="P104" s="128">
        <v>1</v>
      </c>
      <c r="Q104" s="129"/>
      <c r="R104" s="4"/>
    </row>
    <row r="105" spans="1:18" outlineLevel="1">
      <c r="A105" s="4"/>
      <c r="B105" s="4"/>
      <c r="C105" s="7"/>
      <c r="D105" s="328" t="s">
        <v>981</v>
      </c>
      <c r="E105" s="16" t="s">
        <v>1365</v>
      </c>
      <c r="F105" s="325">
        <v>0.999</v>
      </c>
      <c r="G105" s="326">
        <f ca="1">(E27) - Table4725101111120[[#This Row],[SLA]]*(E27)</f>
        <v>0.36500000000000909</v>
      </c>
      <c r="H105" s="326">
        <f ca="1">(24*E27) - Table4725101111120[[#This Row],[SLA]]*(24*E27)</f>
        <v>8.7600000000002183</v>
      </c>
      <c r="I105" s="326">
        <f ca="1">Table4725101111120[[#This Row],[Downtime/Year (Hours)]]*60</f>
        <v>525.6000000000131</v>
      </c>
      <c r="J105" s="326">
        <f ca="1">Table4725101111120[[#This Row],[Downtime/Month (Hours)]]/24</f>
        <v>3.0416666666667425E-2</v>
      </c>
      <c r="K105" s="326">
        <f ca="1">Table4725101111120[[#This Row],[Downtime/Year (Hours)]]/12</f>
        <v>0.73000000000001819</v>
      </c>
      <c r="L105" s="326">
        <f ca="1">Table4725101111120[[#This Row],[Downtime/Month (Hours)]]*60</f>
        <v>43.800000000001091</v>
      </c>
      <c r="M105" s="325">
        <v>0.5</v>
      </c>
      <c r="N105" s="327">
        <v>1</v>
      </c>
      <c r="O105" s="128">
        <v>0</v>
      </c>
      <c r="P105" s="128">
        <v>1</v>
      </c>
      <c r="Q105" s="129"/>
      <c r="R105" s="4"/>
    </row>
    <row r="106" spans="1:18" outlineLevel="1">
      <c r="A106" s="4"/>
      <c r="B106" s="4"/>
      <c r="C106" s="7"/>
      <c r="D106" s="18" t="s">
        <v>979</v>
      </c>
      <c r="E106" s="16" t="s">
        <v>1365</v>
      </c>
      <c r="F106" s="325">
        <v>0.99950000000000006</v>
      </c>
      <c r="G106" s="326">
        <f ca="1">(E27) - Table4725101111120[[#This Row],[SLA]]*(E27)</f>
        <v>0.18250000000000455</v>
      </c>
      <c r="H106" s="326">
        <f ca="1">(24*E27) - Table4725101111120[[#This Row],[SLA]]*(24*E27)</f>
        <v>4.3799999999991996</v>
      </c>
      <c r="I106" s="326">
        <f ca="1">Table4725101111120[[#This Row],[Downtime/Year (Hours)]]*60</f>
        <v>262.79999999995198</v>
      </c>
      <c r="J106" s="326">
        <f ca="1">Table4725101111120[[#This Row],[Downtime/Month (Hours)]]/24</f>
        <v>1.5208333333330555E-2</v>
      </c>
      <c r="K106" s="326">
        <f ca="1">Table4725101111120[[#This Row],[Downtime/Year (Hours)]]/12</f>
        <v>0.36499999999993332</v>
      </c>
      <c r="L106" s="326">
        <f ca="1">Table4725101111120[[#This Row],[Downtime/Month (Hours)]]*60</f>
        <v>21.899999999995998</v>
      </c>
      <c r="M106" s="325">
        <v>0.75</v>
      </c>
      <c r="N106" s="327">
        <v>1</v>
      </c>
      <c r="O106" s="128">
        <v>0</v>
      </c>
      <c r="P106" s="128">
        <v>1</v>
      </c>
      <c r="Q106" s="129"/>
      <c r="R106" s="4"/>
    </row>
    <row r="107" spans="1:18" outlineLevel="1">
      <c r="A107" s="4"/>
      <c r="B107" s="4"/>
      <c r="C107" s="7"/>
      <c r="D107" s="18" t="s">
        <v>980</v>
      </c>
      <c r="E107" s="16" t="s">
        <v>1365</v>
      </c>
      <c r="F107" s="325">
        <v>0.999</v>
      </c>
      <c r="G107" s="326">
        <f ca="1">(E27) - Table4725101111120[[#This Row],[SLA]]*(E27)</f>
        <v>0.36500000000000909</v>
      </c>
      <c r="H107" s="326">
        <f ca="1">(24*E27) - Table4725101111120[[#This Row],[SLA]]*(24*E27)</f>
        <v>8.7600000000002183</v>
      </c>
      <c r="I107" s="326">
        <f ca="1">Table4725101111120[[#This Row],[Downtime/Year (Hours)]]*60</f>
        <v>525.6000000000131</v>
      </c>
      <c r="J107" s="326">
        <f ca="1">Table4725101111120[[#This Row],[Downtime/Month (Hours)]]/24</f>
        <v>3.0416666666667425E-2</v>
      </c>
      <c r="K107" s="326">
        <f ca="1">Table4725101111120[[#This Row],[Downtime/Year (Hours)]]/12</f>
        <v>0.73000000000001819</v>
      </c>
      <c r="L107" s="326">
        <f ca="1">Table4725101111120[[#This Row],[Downtime/Month (Hours)]]*60</f>
        <v>43.800000000001091</v>
      </c>
      <c r="M107" s="325">
        <v>0.66</v>
      </c>
      <c r="N107" s="327">
        <v>1</v>
      </c>
      <c r="O107" s="128">
        <v>0</v>
      </c>
      <c r="P107" s="128">
        <v>1</v>
      </c>
      <c r="Q107" s="129"/>
      <c r="R107" s="4"/>
    </row>
    <row r="108" spans="1:18" outlineLevel="1">
      <c r="A108" s="4"/>
      <c r="B108" s="4"/>
      <c r="C108" s="7"/>
      <c r="D108" s="18" t="s">
        <v>982</v>
      </c>
      <c r="E108" s="16" t="s">
        <v>1365</v>
      </c>
      <c r="F108" s="325">
        <v>0.99990000000000001</v>
      </c>
      <c r="G108" s="326">
        <f ca="1">(E27) - Table4725101111120[[#This Row],[SLA]]*(E27)</f>
        <v>3.6499999999989541E-2</v>
      </c>
      <c r="H108" s="326">
        <f ca="1">(24*E27) - Table4725101111120[[#This Row],[SLA]]*(24*E27)</f>
        <v>0.87600000000020373</v>
      </c>
      <c r="I108" s="326">
        <f ca="1">Table4725101111120[[#This Row],[Downtime/Year (Hours)]]*60</f>
        <v>52.560000000012224</v>
      </c>
      <c r="J108" s="326">
        <f ca="1">Table4725101111120[[#This Row],[Downtime/Month (Hours)]]/24</f>
        <v>3.0416666666673742E-3</v>
      </c>
      <c r="K108" s="326">
        <f ca="1">Table4725101111120[[#This Row],[Downtime/Year (Hours)]]/12</f>
        <v>7.3000000000016982E-2</v>
      </c>
      <c r="L108" s="326">
        <f ca="1">Table4725101111120[[#This Row],[Downtime/Month (Hours)]]*60</f>
        <v>4.3800000000010186</v>
      </c>
      <c r="M108" s="325">
        <v>0.75</v>
      </c>
      <c r="N108" s="327">
        <v>1</v>
      </c>
      <c r="O108" s="329">
        <v>1</v>
      </c>
      <c r="P108" s="329">
        <v>8</v>
      </c>
      <c r="Q108" s="129"/>
      <c r="R108" s="4"/>
    </row>
    <row r="109" spans="1:18" outlineLevel="1">
      <c r="A109" s="4"/>
      <c r="B109" s="4"/>
      <c r="C109" s="7"/>
      <c r="D109" s="18" t="s">
        <v>983</v>
      </c>
      <c r="E109" s="16" t="s">
        <v>1365</v>
      </c>
      <c r="F109" s="325">
        <v>0.99950000000000006</v>
      </c>
      <c r="G109" s="326">
        <f ca="1">(E27) - Table4725101111120[[#This Row],[SLA]]*(E27)</f>
        <v>0.18250000000000455</v>
      </c>
      <c r="H109" s="326">
        <f ca="1">(24*E27) - Table4725101111120[[#This Row],[SLA]]*(24*E27)</f>
        <v>4.3799999999991996</v>
      </c>
      <c r="I109" s="326">
        <f ca="1">Table4725101111120[[#This Row],[Downtime/Year (Hours)]]*60</f>
        <v>262.79999999995198</v>
      </c>
      <c r="J109" s="326">
        <f ca="1">Table4725101111120[[#This Row],[Downtime/Month (Hours)]]/24</f>
        <v>1.5208333333330555E-2</v>
      </c>
      <c r="K109" s="326">
        <f ca="1">Table4725101111120[[#This Row],[Downtime/Year (Hours)]]/12</f>
        <v>0.36499999999993332</v>
      </c>
      <c r="L109" s="326">
        <f ca="1">Table4725101111120[[#This Row],[Downtime/Month (Hours)]]*60</f>
        <v>21.899999999995998</v>
      </c>
      <c r="M109" s="325">
        <v>0.66</v>
      </c>
      <c r="N109" s="327">
        <v>1</v>
      </c>
      <c r="O109" s="329">
        <v>1</v>
      </c>
      <c r="P109" s="329">
        <v>8</v>
      </c>
      <c r="Q109" s="129"/>
      <c r="R109" s="4"/>
    </row>
    <row r="110" spans="1:18" ht="15" outlineLevel="1" thickBot="1">
      <c r="A110" s="4"/>
      <c r="B110" s="4"/>
      <c r="C110" s="7"/>
      <c r="D110" s="402" t="s">
        <v>1369</v>
      </c>
      <c r="E110" s="403"/>
      <c r="F110" s="404">
        <f>F102*F103*F104*F105*F106*F107*F108*F109</f>
        <v>0.99630545589167241</v>
      </c>
      <c r="G110" s="405">
        <f ca="1">(E27) - Table4725101111120[[#This Row],[SLA]]*(E27)</f>
        <v>1.3485085995395707</v>
      </c>
      <c r="H110" s="405">
        <f ca="1">(24*E27) - Table4725101111120[[#This Row],[SLA]]*(24*E27)</f>
        <v>32.364206388949242</v>
      </c>
      <c r="I110" s="405">
        <f ca="1">Table4725101111120[[#This Row],[Downtime/Year (Hours)]]*60</f>
        <v>1941.8523833369545</v>
      </c>
      <c r="J110" s="405">
        <f ca="1">Table4725101111120[[#This Row],[Downtime/Month (Hours)]]/24</f>
        <v>0.11237571662829599</v>
      </c>
      <c r="K110" s="405">
        <f ca="1">Table4725101111120[[#This Row],[Downtime/Year (Hours)]]/12</f>
        <v>2.6970171990791036</v>
      </c>
      <c r="L110" s="405">
        <f ca="1">Table4725101111120[[#This Row],[Downtime/Month (Hours)]]*60</f>
        <v>161.82103194474621</v>
      </c>
      <c r="M110" s="406">
        <f>M102*M103*M104*M105*M106*M107*M108*M109</f>
        <v>1.53140625E-2</v>
      </c>
      <c r="N110" s="407">
        <f>N102*N103*N104*N105*N106*N107*N108*N109</f>
        <v>1</v>
      </c>
      <c r="O110" s="408">
        <f>SUM(O102:O109)</f>
        <v>2</v>
      </c>
      <c r="P110" s="408">
        <f>SUM(P102:P109)</f>
        <v>22</v>
      </c>
      <c r="Q110" s="130"/>
      <c r="R110" s="4"/>
    </row>
    <row r="111" spans="1:18" ht="15" outlineLevel="1" thickTop="1">
      <c r="A111" s="4"/>
      <c r="B111" s="4"/>
      <c r="C111" s="7"/>
      <c r="D111" s="7"/>
      <c r="E111" s="7"/>
      <c r="F111" s="7"/>
      <c r="G111" s="7"/>
      <c r="H111" s="7"/>
      <c r="I111" s="7"/>
      <c r="J111" s="7"/>
      <c r="K111" s="7"/>
      <c r="L111" s="7"/>
      <c r="M111" s="7"/>
      <c r="N111" s="7"/>
      <c r="O111" s="7"/>
      <c r="P111" s="7"/>
      <c r="Q111" s="7"/>
      <c r="R111" s="4"/>
    </row>
    <row r="112" spans="1:18">
      <c r="A112" s="4"/>
      <c r="B112" s="4"/>
      <c r="C112" s="4"/>
      <c r="D112" s="4"/>
      <c r="E112" s="4"/>
      <c r="F112" s="4"/>
      <c r="G112" s="4"/>
      <c r="H112" s="4"/>
      <c r="I112" s="4"/>
      <c r="J112" s="4"/>
      <c r="K112" s="4"/>
      <c r="L112" s="4"/>
      <c r="M112" s="4"/>
      <c r="N112" s="4"/>
      <c r="O112" s="4"/>
      <c r="P112" s="4"/>
      <c r="Q112" s="4"/>
      <c r="R112" s="4"/>
    </row>
    <row r="113" spans="1:18" ht="18.600000000000001">
      <c r="A113" s="4"/>
      <c r="B113" s="4"/>
      <c r="C113" s="102" t="s">
        <v>1374</v>
      </c>
      <c r="D113" s="102"/>
      <c r="E113" s="399"/>
      <c r="F113" s="102"/>
      <c r="G113" s="102"/>
      <c r="H113" s="102"/>
      <c r="I113" s="102"/>
      <c r="J113" s="102"/>
      <c r="K113" s="102"/>
      <c r="L113" s="102"/>
      <c r="M113" s="102"/>
      <c r="N113" s="102"/>
      <c r="O113" s="102"/>
      <c r="P113" s="102"/>
      <c r="Q113" s="102"/>
      <c r="R113" s="4"/>
    </row>
    <row r="114" spans="1:18" outlineLevel="1">
      <c r="A114" s="4"/>
      <c r="B114" s="4"/>
      <c r="C114" s="4"/>
      <c r="D114" s="4"/>
      <c r="E114" s="4"/>
      <c r="F114" s="4"/>
      <c r="G114" s="4"/>
      <c r="H114" s="4"/>
      <c r="I114" s="4"/>
      <c r="J114" s="4"/>
      <c r="K114" s="4"/>
      <c r="L114" s="4"/>
      <c r="M114" s="4"/>
      <c r="N114" s="4"/>
      <c r="O114" s="4"/>
      <c r="P114" s="4"/>
      <c r="Q114" s="4"/>
      <c r="R114" s="4"/>
    </row>
    <row r="115" spans="1:18" outlineLevel="1">
      <c r="A115" s="4"/>
      <c r="B115" s="4"/>
      <c r="C115" s="7"/>
      <c r="D115" s="70"/>
      <c r="E115" s="70"/>
      <c r="F115" s="7"/>
      <c r="G115" s="7"/>
      <c r="H115" s="7"/>
      <c r="I115" s="7"/>
      <c r="J115" s="7"/>
      <c r="K115" s="7"/>
      <c r="L115" s="7"/>
      <c r="M115" s="7"/>
      <c r="N115" s="7"/>
      <c r="O115" s="7"/>
      <c r="P115" s="7"/>
      <c r="Q115" s="7"/>
      <c r="R115" s="4"/>
    </row>
    <row r="116" spans="1:18" ht="16.5" outlineLevel="1">
      <c r="A116" s="4"/>
      <c r="B116" s="4"/>
      <c r="C116" s="54"/>
      <c r="D116" s="18" t="s">
        <v>1361</v>
      </c>
      <c r="E116" s="18" t="s">
        <v>1116</v>
      </c>
      <c r="F116" s="18" t="s">
        <v>207</v>
      </c>
      <c r="G116" s="18" t="s">
        <v>1347</v>
      </c>
      <c r="H116" s="18" t="s">
        <v>1348</v>
      </c>
      <c r="I116" s="18" t="s">
        <v>1349</v>
      </c>
      <c r="J116" s="18" t="s">
        <v>1350</v>
      </c>
      <c r="K116" s="18" t="s">
        <v>1351</v>
      </c>
      <c r="L116" s="18" t="s">
        <v>1352</v>
      </c>
      <c r="M116" s="18" t="s">
        <v>1353</v>
      </c>
      <c r="N116" s="18" t="s">
        <v>1354</v>
      </c>
      <c r="O116" s="18" t="s">
        <v>1362</v>
      </c>
      <c r="P116" s="18" t="s">
        <v>1363</v>
      </c>
      <c r="Q116" s="54"/>
      <c r="R116" s="4"/>
    </row>
    <row r="117" spans="1:18" ht="16.5" outlineLevel="1">
      <c r="A117" s="4"/>
      <c r="B117" s="4"/>
      <c r="C117" s="7"/>
      <c r="D117" s="18" t="s">
        <v>1364</v>
      </c>
      <c r="E117" s="16" t="s">
        <v>1365</v>
      </c>
      <c r="F117" s="325">
        <v>0.99990000000000001</v>
      </c>
      <c r="G117" s="326">
        <f ca="1">(E27) - Table4725102112121[[#This Row],[SLA]]*(E27)</f>
        <v>3.6499999999989541E-2</v>
      </c>
      <c r="H117" s="326">
        <f ca="1">(24*E27) - Table4725102112121[[#This Row],[SLA]]*(24*E27)</f>
        <v>0.87600000000020373</v>
      </c>
      <c r="I117" s="326">
        <f ca="1">Table4725102112121[[#This Row],[Downtime/Year (Hours)]]*60</f>
        <v>52.560000000012224</v>
      </c>
      <c r="J117" s="326">
        <f ca="1">Table4725102112121[[#This Row],[Downtime/Month (Hours)]]/24</f>
        <v>3.0416666666673742E-3</v>
      </c>
      <c r="K117" s="326">
        <f ca="1">Table4725102112121[[#This Row],[Downtime/Year (Hours)]]/12</f>
        <v>7.3000000000016982E-2</v>
      </c>
      <c r="L117" s="326">
        <f ca="1">Table4725102112121[[#This Row],[Downtime/Month (Hours)]]*60</f>
        <v>4.3800000000010186</v>
      </c>
      <c r="M117" s="325">
        <v>0.5</v>
      </c>
      <c r="N117" s="327">
        <v>1</v>
      </c>
      <c r="O117" s="128">
        <v>0</v>
      </c>
      <c r="P117" s="128">
        <v>1</v>
      </c>
      <c r="Q117" s="129"/>
      <c r="R117" s="4"/>
    </row>
    <row r="118" spans="1:18" outlineLevel="1">
      <c r="A118" s="4"/>
      <c r="B118" s="4"/>
      <c r="C118" s="7"/>
      <c r="D118" s="18" t="s">
        <v>977</v>
      </c>
      <c r="E118" s="16" t="s">
        <v>1365</v>
      </c>
      <c r="F118" s="325">
        <v>1</v>
      </c>
      <c r="G118" s="326">
        <f ca="1">(E27) - Table4725102112121[[#This Row],[SLA]]*(E27)</f>
        <v>0</v>
      </c>
      <c r="H118" s="326">
        <f ca="1">(24*E27) - Table4725102112121[[#This Row],[SLA]]*(24*E27)</f>
        <v>0</v>
      </c>
      <c r="I118" s="326">
        <f ca="1">Table4725102112121[[#This Row],[Downtime/Year (Hours)]]*60</f>
        <v>0</v>
      </c>
      <c r="J118" s="326">
        <f ca="1">Table4725102112121[[#This Row],[Downtime/Month (Hours)]]/24</f>
        <v>0</v>
      </c>
      <c r="K118" s="326">
        <f ca="1">Table4725102112121[[#This Row],[Downtime/Year (Hours)]]/12</f>
        <v>0</v>
      </c>
      <c r="L118" s="326">
        <f ca="1">Table4725102112121[[#This Row],[Downtime/Month (Hours)]]*60</f>
        <v>0</v>
      </c>
      <c r="M118" s="325">
        <v>0.5</v>
      </c>
      <c r="N118" s="327">
        <v>1</v>
      </c>
      <c r="O118" s="128">
        <v>0</v>
      </c>
      <c r="P118" s="128">
        <v>1</v>
      </c>
      <c r="Q118" s="129"/>
      <c r="R118" s="4"/>
    </row>
    <row r="119" spans="1:18" outlineLevel="1">
      <c r="A119" s="4"/>
      <c r="B119" s="4"/>
      <c r="C119" s="7"/>
      <c r="D119" s="18" t="s">
        <v>975</v>
      </c>
      <c r="E119" s="16" t="s">
        <v>1365</v>
      </c>
      <c r="F119" s="325">
        <v>0.99950000000000006</v>
      </c>
      <c r="G119" s="326">
        <f ca="1">(E27) - Table4725102112121[[#This Row],[SLA]]*(E27)</f>
        <v>0.18250000000000455</v>
      </c>
      <c r="H119" s="326">
        <f ca="1">(24*E27) - Table4725102112121[[#This Row],[SLA]]*(24*E27)</f>
        <v>4.3799999999991996</v>
      </c>
      <c r="I119" s="326">
        <f ca="1">Table4725102112121[[#This Row],[Downtime/Year (Hours)]]*60</f>
        <v>262.79999999995198</v>
      </c>
      <c r="J119" s="326">
        <f ca="1">Table4725102112121[[#This Row],[Downtime/Month (Hours)]]/24</f>
        <v>1.5208333333330555E-2</v>
      </c>
      <c r="K119" s="326">
        <f ca="1">Table4725102112121[[#This Row],[Downtime/Year (Hours)]]/12</f>
        <v>0.36499999999993332</v>
      </c>
      <c r="L119" s="326">
        <f ca="1">Table4725102112121[[#This Row],[Downtime/Month (Hours)]]*60</f>
        <v>21.899999999995998</v>
      </c>
      <c r="M119" s="325">
        <v>0.5</v>
      </c>
      <c r="N119" s="327">
        <v>1</v>
      </c>
      <c r="O119" s="128">
        <v>0</v>
      </c>
      <c r="P119" s="128">
        <v>1</v>
      </c>
      <c r="Q119" s="129"/>
      <c r="R119" s="4"/>
    </row>
    <row r="120" spans="1:18" outlineLevel="1">
      <c r="A120" s="4"/>
      <c r="B120" s="4"/>
      <c r="C120" s="7"/>
      <c r="D120" s="328" t="s">
        <v>981</v>
      </c>
      <c r="E120" s="16" t="s">
        <v>1365</v>
      </c>
      <c r="F120" s="325">
        <v>0.999</v>
      </c>
      <c r="G120" s="326">
        <f ca="1">(E27) - Table4725102112121[[#This Row],[SLA]]*(E27)</f>
        <v>0.36500000000000909</v>
      </c>
      <c r="H120" s="326">
        <f ca="1">(24*E27) - Table4725102112121[[#This Row],[SLA]]*(24*E27)</f>
        <v>8.7600000000002183</v>
      </c>
      <c r="I120" s="326">
        <f ca="1">Table4725102112121[[#This Row],[Downtime/Year (Hours)]]*60</f>
        <v>525.6000000000131</v>
      </c>
      <c r="J120" s="326">
        <f ca="1">Table4725102112121[[#This Row],[Downtime/Month (Hours)]]/24</f>
        <v>3.0416666666667425E-2</v>
      </c>
      <c r="K120" s="326">
        <f ca="1">Table4725102112121[[#This Row],[Downtime/Year (Hours)]]/12</f>
        <v>0.73000000000001819</v>
      </c>
      <c r="L120" s="326">
        <f ca="1">Table4725102112121[[#This Row],[Downtime/Month (Hours)]]*60</f>
        <v>43.800000000001091</v>
      </c>
      <c r="M120" s="325">
        <v>0.5</v>
      </c>
      <c r="N120" s="327">
        <v>1</v>
      </c>
      <c r="O120" s="128">
        <v>0</v>
      </c>
      <c r="P120" s="128">
        <v>1</v>
      </c>
      <c r="Q120" s="129"/>
      <c r="R120" s="4"/>
    </row>
    <row r="121" spans="1:18" outlineLevel="1">
      <c r="A121" s="4"/>
      <c r="B121" s="4"/>
      <c r="C121" s="7"/>
      <c r="D121" s="18" t="s">
        <v>979</v>
      </c>
      <c r="E121" s="16" t="s">
        <v>1365</v>
      </c>
      <c r="F121" s="325">
        <v>0.99950000000000006</v>
      </c>
      <c r="G121" s="326">
        <f ca="1">(E27) - Table4725102112121[[#This Row],[SLA]]*(E27)</f>
        <v>0.18250000000000455</v>
      </c>
      <c r="H121" s="326">
        <f ca="1">(24*E27) - Table4725102112121[[#This Row],[SLA]]*(24*E27)</f>
        <v>4.3799999999991996</v>
      </c>
      <c r="I121" s="326">
        <f ca="1">Table4725102112121[[#This Row],[Downtime/Year (Hours)]]*60</f>
        <v>262.79999999995198</v>
      </c>
      <c r="J121" s="326">
        <f ca="1">Table4725102112121[[#This Row],[Downtime/Month (Hours)]]/24</f>
        <v>1.5208333333330555E-2</v>
      </c>
      <c r="K121" s="326">
        <f ca="1">Table4725102112121[[#This Row],[Downtime/Year (Hours)]]/12</f>
        <v>0.36499999999993332</v>
      </c>
      <c r="L121" s="326">
        <f ca="1">Table4725102112121[[#This Row],[Downtime/Month (Hours)]]*60</f>
        <v>21.899999999995998</v>
      </c>
      <c r="M121" s="325">
        <v>0.75</v>
      </c>
      <c r="N121" s="327">
        <v>1</v>
      </c>
      <c r="O121" s="128">
        <v>0</v>
      </c>
      <c r="P121" s="128">
        <v>1</v>
      </c>
      <c r="Q121" s="129"/>
      <c r="R121" s="4"/>
    </row>
    <row r="122" spans="1:18" outlineLevel="1">
      <c r="A122" s="4"/>
      <c r="B122" s="4"/>
      <c r="C122" s="7"/>
      <c r="D122" s="18" t="s">
        <v>982</v>
      </c>
      <c r="E122" s="16" t="s">
        <v>1365</v>
      </c>
      <c r="F122" s="325">
        <v>0.99990000000000001</v>
      </c>
      <c r="G122" s="326">
        <f ca="1">(E27) - Table4725102112121[[#This Row],[SLA]]*(E27)</f>
        <v>3.6499999999989541E-2</v>
      </c>
      <c r="H122" s="326">
        <f ca="1">(24*E27) - Table4725102112121[[#This Row],[SLA]]*(24*E27)</f>
        <v>0.87600000000020373</v>
      </c>
      <c r="I122" s="326">
        <f ca="1">Table4725102112121[[#This Row],[Downtime/Year (Hours)]]*60</f>
        <v>52.560000000012224</v>
      </c>
      <c r="J122" s="326">
        <f ca="1">Table4725102112121[[#This Row],[Downtime/Month (Hours)]]/24</f>
        <v>3.0416666666673742E-3</v>
      </c>
      <c r="K122" s="326">
        <f ca="1">Table4725102112121[[#This Row],[Downtime/Year (Hours)]]/12</f>
        <v>7.3000000000016982E-2</v>
      </c>
      <c r="L122" s="326">
        <f ca="1">Table4725102112121[[#This Row],[Downtime/Month (Hours)]]*60</f>
        <v>4.3800000000010186</v>
      </c>
      <c r="M122" s="325">
        <v>0.75</v>
      </c>
      <c r="N122" s="327">
        <v>1</v>
      </c>
      <c r="O122" s="329">
        <v>1</v>
      </c>
      <c r="P122" s="329">
        <v>8</v>
      </c>
      <c r="Q122" s="129"/>
      <c r="R122" s="4"/>
    </row>
    <row r="123" spans="1:18" ht="15" outlineLevel="1" thickBot="1">
      <c r="A123" s="4"/>
      <c r="B123" s="4"/>
      <c r="C123" s="7"/>
      <c r="D123" s="402" t="s">
        <v>1369</v>
      </c>
      <c r="E123" s="403"/>
      <c r="F123" s="404">
        <f>F117*F118*F119*F120*F121*F122</f>
        <v>0.99780165948006261</v>
      </c>
      <c r="G123" s="405">
        <f ca="1">(E27) - Table4725102112121[[#This Row],[SLA]]*(E27)</f>
        <v>0.80239428977716898</v>
      </c>
      <c r="H123" s="405">
        <f ca="1">(24*E27) - Table4725102112121[[#This Row],[SLA]]*(24*E27)</f>
        <v>19.257462954650691</v>
      </c>
      <c r="I123" s="405">
        <f ca="1">Table4725102112121[[#This Row],[Downtime/Year (Hours)]]*60</f>
        <v>1155.4477772790415</v>
      </c>
      <c r="J123" s="405">
        <f ca="1">Table4725102112121[[#This Row],[Downtime/Month (Hours)]]/24</f>
        <v>6.6866190814759349E-2</v>
      </c>
      <c r="K123" s="405">
        <f ca="1">Table4725102112121[[#This Row],[Downtime/Year (Hours)]]/12</f>
        <v>1.6047885795542243</v>
      </c>
      <c r="L123" s="405">
        <f ca="1">Table4725102112121[[#This Row],[Downtime/Month (Hours)]]*60</f>
        <v>96.287314773253456</v>
      </c>
      <c r="M123" s="406">
        <f>M117*M118*M119*M120*M121*M122</f>
        <v>3.515625E-2</v>
      </c>
      <c r="N123" s="407">
        <f>N117*N118*N119*N120*N121*N122</f>
        <v>1</v>
      </c>
      <c r="O123" s="408">
        <f>SUM(O117:O122)</f>
        <v>1</v>
      </c>
      <c r="P123" s="408">
        <f>SUM(P117:P122)</f>
        <v>13</v>
      </c>
      <c r="Q123" s="130"/>
      <c r="R123" s="4"/>
    </row>
    <row r="124" spans="1:18" ht="15" outlineLevel="1" thickTop="1">
      <c r="A124" s="4"/>
      <c r="B124" s="4"/>
      <c r="C124" s="7"/>
      <c r="D124" s="7"/>
      <c r="E124" s="7"/>
      <c r="F124" s="7"/>
      <c r="G124" s="7"/>
      <c r="H124" s="7"/>
      <c r="I124" s="7"/>
      <c r="J124" s="7"/>
      <c r="K124" s="7"/>
      <c r="L124" s="7"/>
      <c r="M124" s="7"/>
      <c r="N124" s="7"/>
      <c r="O124" s="7"/>
      <c r="P124" s="7"/>
      <c r="Q124" s="7"/>
      <c r="R124" s="4"/>
    </row>
    <row r="125" spans="1:18">
      <c r="A125" s="4"/>
      <c r="B125" s="4"/>
      <c r="C125" s="4"/>
      <c r="D125" s="4"/>
      <c r="E125" s="4"/>
      <c r="F125" s="4"/>
      <c r="G125" s="4"/>
      <c r="H125" s="4"/>
      <c r="I125" s="4"/>
      <c r="J125" s="4"/>
      <c r="K125" s="4"/>
      <c r="L125" s="4"/>
      <c r="M125" s="4"/>
      <c r="N125" s="4"/>
      <c r="O125" s="4"/>
      <c r="P125" s="4"/>
      <c r="Q125" s="4"/>
      <c r="R125" s="4"/>
    </row>
    <row r="126" spans="1:18" ht="18.600000000000001">
      <c r="A126" s="4"/>
      <c r="B126" s="4"/>
      <c r="C126" s="102" t="s">
        <v>1375</v>
      </c>
      <c r="D126" s="102"/>
      <c r="E126" s="399"/>
      <c r="F126" s="102"/>
      <c r="G126" s="102"/>
      <c r="H126" s="102"/>
      <c r="I126" s="102"/>
      <c r="J126" s="102"/>
      <c r="K126" s="102"/>
      <c r="L126" s="102"/>
      <c r="M126" s="102"/>
      <c r="N126" s="102"/>
      <c r="O126" s="102"/>
      <c r="P126" s="102"/>
      <c r="Q126" s="102"/>
      <c r="R126" s="4"/>
    </row>
    <row r="127" spans="1:18" outlineLevel="1">
      <c r="A127" s="4"/>
      <c r="B127" s="4"/>
      <c r="C127" s="4"/>
      <c r="D127" s="4"/>
      <c r="E127" s="4"/>
      <c r="F127" s="4"/>
      <c r="G127" s="4"/>
      <c r="H127" s="4"/>
      <c r="I127" s="4"/>
      <c r="J127" s="4"/>
      <c r="K127" s="4"/>
      <c r="L127" s="4"/>
      <c r="M127" s="4"/>
      <c r="N127" s="4"/>
      <c r="O127" s="4"/>
      <c r="P127" s="4"/>
      <c r="Q127" s="4"/>
      <c r="R127" s="4"/>
    </row>
    <row r="128" spans="1:18" outlineLevel="1">
      <c r="A128" s="4"/>
      <c r="B128" s="4"/>
      <c r="C128" s="7"/>
      <c r="D128" s="70"/>
      <c r="E128" s="70"/>
      <c r="F128" s="7"/>
      <c r="G128" s="7"/>
      <c r="H128" s="7"/>
      <c r="I128" s="7"/>
      <c r="J128" s="7"/>
      <c r="K128" s="7"/>
      <c r="L128" s="7"/>
      <c r="M128" s="7"/>
      <c r="N128" s="7"/>
      <c r="O128" s="7"/>
      <c r="P128" s="7"/>
      <c r="Q128" s="7"/>
      <c r="R128" s="4"/>
    </row>
    <row r="129" spans="1:18" ht="16.5" outlineLevel="1">
      <c r="A129" s="4"/>
      <c r="B129" s="4"/>
      <c r="C129" s="54"/>
      <c r="D129" s="18" t="s">
        <v>1361</v>
      </c>
      <c r="E129" s="18" t="s">
        <v>1116</v>
      </c>
      <c r="F129" s="18" t="s">
        <v>207</v>
      </c>
      <c r="G129" s="18" t="s">
        <v>1347</v>
      </c>
      <c r="H129" s="18" t="s">
        <v>1348</v>
      </c>
      <c r="I129" s="18" t="s">
        <v>1349</v>
      </c>
      <c r="J129" s="18" t="s">
        <v>1350</v>
      </c>
      <c r="K129" s="18" t="s">
        <v>1351</v>
      </c>
      <c r="L129" s="18" t="s">
        <v>1352</v>
      </c>
      <c r="M129" s="18" t="s">
        <v>1353</v>
      </c>
      <c r="N129" s="18" t="s">
        <v>1354</v>
      </c>
      <c r="O129" s="18" t="s">
        <v>1362</v>
      </c>
      <c r="P129" s="18" t="s">
        <v>1363</v>
      </c>
      <c r="Q129" s="54"/>
      <c r="R129" s="4"/>
    </row>
    <row r="130" spans="1:18" ht="16.5" outlineLevel="1">
      <c r="A130" s="4"/>
      <c r="B130" s="4"/>
      <c r="C130" s="7"/>
      <c r="D130" s="18" t="s">
        <v>1364</v>
      </c>
      <c r="E130" s="16" t="s">
        <v>1365</v>
      </c>
      <c r="F130" s="325">
        <v>0.99990000000000001</v>
      </c>
      <c r="G130" s="326">
        <f ca="1">(E27) - Table4725103113122[[#This Row],[SLA]]*(E27)</f>
        <v>3.6499999999989541E-2</v>
      </c>
      <c r="H130" s="326">
        <f ca="1">(24*E27) - Table4725103113122[[#This Row],[SLA]]*(24*E27)</f>
        <v>0.87600000000020373</v>
      </c>
      <c r="I130" s="326">
        <f ca="1">Table4725103113122[[#This Row],[Downtime/Year (Hours)]]*60</f>
        <v>52.560000000012224</v>
      </c>
      <c r="J130" s="326">
        <f ca="1">Table4725103113122[[#This Row],[Downtime/Month (Hours)]]/24</f>
        <v>3.0416666666673742E-3</v>
      </c>
      <c r="K130" s="326">
        <f ca="1">Table4725103113122[[#This Row],[Downtime/Year (Hours)]]/12</f>
        <v>7.3000000000016982E-2</v>
      </c>
      <c r="L130" s="326">
        <f ca="1">Table4725103113122[[#This Row],[Downtime/Month (Hours)]]*60</f>
        <v>4.3800000000010186</v>
      </c>
      <c r="M130" s="325">
        <v>0.5</v>
      </c>
      <c r="N130" s="327">
        <v>1</v>
      </c>
      <c r="O130" s="128">
        <v>0</v>
      </c>
      <c r="P130" s="128">
        <v>1</v>
      </c>
      <c r="Q130" s="129"/>
      <c r="R130" s="4"/>
    </row>
    <row r="131" spans="1:18" outlineLevel="1">
      <c r="A131" s="4"/>
      <c r="B131" s="4"/>
      <c r="C131" s="7"/>
      <c r="D131" s="18" t="s">
        <v>977</v>
      </c>
      <c r="E131" s="16" t="s">
        <v>1365</v>
      </c>
      <c r="F131" s="325">
        <v>1</v>
      </c>
      <c r="G131" s="326">
        <f ca="1">(E27) - Table4725103113122[[#This Row],[SLA]]*(E27)</f>
        <v>0</v>
      </c>
      <c r="H131" s="326">
        <f ca="1">(24*E27) - Table4725103113122[[#This Row],[SLA]]*(24*E27)</f>
        <v>0</v>
      </c>
      <c r="I131" s="326">
        <f ca="1">Table4725103113122[[#This Row],[Downtime/Year (Hours)]]*60</f>
        <v>0</v>
      </c>
      <c r="J131" s="326">
        <f ca="1">Table4725103113122[[#This Row],[Downtime/Month (Hours)]]/24</f>
        <v>0</v>
      </c>
      <c r="K131" s="326">
        <f ca="1">Table4725103113122[[#This Row],[Downtime/Year (Hours)]]/12</f>
        <v>0</v>
      </c>
      <c r="L131" s="326">
        <f ca="1">Table4725103113122[[#This Row],[Downtime/Month (Hours)]]*60</f>
        <v>0</v>
      </c>
      <c r="M131" s="325">
        <v>0.5</v>
      </c>
      <c r="N131" s="327">
        <v>1</v>
      </c>
      <c r="O131" s="128">
        <v>0</v>
      </c>
      <c r="P131" s="128">
        <v>1</v>
      </c>
      <c r="Q131" s="129"/>
      <c r="R131" s="4"/>
    </row>
    <row r="132" spans="1:18" outlineLevel="1">
      <c r="A132" s="4"/>
      <c r="B132" s="4"/>
      <c r="C132" s="7"/>
      <c r="D132" s="18" t="s">
        <v>975</v>
      </c>
      <c r="E132" s="16" t="s">
        <v>1365</v>
      </c>
      <c r="F132" s="325">
        <v>0.99950000000000006</v>
      </c>
      <c r="G132" s="326">
        <f ca="1">(E27) - Table4725103113122[[#This Row],[SLA]]*(E27)</f>
        <v>0.18250000000000455</v>
      </c>
      <c r="H132" s="326">
        <f ca="1">(24*E27) - Table4725103113122[[#This Row],[SLA]]*(24*E27)</f>
        <v>4.3799999999991996</v>
      </c>
      <c r="I132" s="326">
        <f ca="1">Table4725103113122[[#This Row],[Downtime/Year (Hours)]]*60</f>
        <v>262.79999999995198</v>
      </c>
      <c r="J132" s="326">
        <f ca="1">Table4725103113122[[#This Row],[Downtime/Month (Hours)]]/24</f>
        <v>1.5208333333330555E-2</v>
      </c>
      <c r="K132" s="326">
        <f ca="1">Table4725103113122[[#This Row],[Downtime/Year (Hours)]]/12</f>
        <v>0.36499999999993332</v>
      </c>
      <c r="L132" s="326">
        <f ca="1">Table4725103113122[[#This Row],[Downtime/Month (Hours)]]*60</f>
        <v>21.899999999995998</v>
      </c>
      <c r="M132" s="325">
        <v>0.5</v>
      </c>
      <c r="N132" s="327">
        <v>1</v>
      </c>
      <c r="O132" s="128">
        <v>0</v>
      </c>
      <c r="P132" s="128">
        <v>1</v>
      </c>
      <c r="Q132" s="129"/>
      <c r="R132" s="4"/>
    </row>
    <row r="133" spans="1:18" outlineLevel="1">
      <c r="A133" s="4"/>
      <c r="B133" s="4"/>
      <c r="C133" s="7"/>
      <c r="D133" s="328" t="s">
        <v>981</v>
      </c>
      <c r="E133" s="16" t="s">
        <v>1365</v>
      </c>
      <c r="F133" s="325">
        <v>0.999</v>
      </c>
      <c r="G133" s="326">
        <f ca="1">(E27) - Table4725103113122[[#This Row],[SLA]]*(E27)</f>
        <v>0.36500000000000909</v>
      </c>
      <c r="H133" s="326">
        <f ca="1">(24*E27) - Table4725103113122[[#This Row],[SLA]]*(24*E27)</f>
        <v>8.7600000000002183</v>
      </c>
      <c r="I133" s="326">
        <f ca="1">Table4725103113122[[#This Row],[Downtime/Year (Hours)]]*60</f>
        <v>525.6000000000131</v>
      </c>
      <c r="J133" s="326">
        <f ca="1">Table4725103113122[[#This Row],[Downtime/Month (Hours)]]/24</f>
        <v>3.0416666666667425E-2</v>
      </c>
      <c r="K133" s="326">
        <f ca="1">Table4725103113122[[#This Row],[Downtime/Year (Hours)]]/12</f>
        <v>0.73000000000001819</v>
      </c>
      <c r="L133" s="326">
        <f ca="1">Table4725103113122[[#This Row],[Downtime/Month (Hours)]]*60</f>
        <v>43.800000000001091</v>
      </c>
      <c r="M133" s="325">
        <v>0.5</v>
      </c>
      <c r="N133" s="327">
        <v>1</v>
      </c>
      <c r="O133" s="128">
        <v>0</v>
      </c>
      <c r="P133" s="128">
        <v>1</v>
      </c>
      <c r="Q133" s="129"/>
      <c r="R133" s="4"/>
    </row>
    <row r="134" spans="1:18" outlineLevel="1">
      <c r="A134" s="4"/>
      <c r="B134" s="4"/>
      <c r="C134" s="7"/>
      <c r="D134" s="18" t="s">
        <v>983</v>
      </c>
      <c r="E134" s="16" t="s">
        <v>1365</v>
      </c>
      <c r="F134" s="325">
        <v>0.99950000000000006</v>
      </c>
      <c r="G134" s="326">
        <f ca="1">(E27) - Table4725103113122[[#This Row],[SLA]]*(E27)</f>
        <v>0.18250000000000455</v>
      </c>
      <c r="H134" s="326">
        <f ca="1">(24*E27) - Table4725103113122[[#This Row],[SLA]]*(24*E27)</f>
        <v>4.3799999999991996</v>
      </c>
      <c r="I134" s="326">
        <f ca="1">Table4725103113122[[#This Row],[Downtime/Year (Hours)]]*60</f>
        <v>262.79999999995198</v>
      </c>
      <c r="J134" s="326">
        <f ca="1">Table4725103113122[[#This Row],[Downtime/Month (Hours)]]/24</f>
        <v>1.5208333333330555E-2</v>
      </c>
      <c r="K134" s="326">
        <f ca="1">Table4725103113122[[#This Row],[Downtime/Year (Hours)]]/12</f>
        <v>0.36499999999993332</v>
      </c>
      <c r="L134" s="326">
        <f ca="1">Table4725103113122[[#This Row],[Downtime/Month (Hours)]]*60</f>
        <v>21.899999999995998</v>
      </c>
      <c r="M134" s="325">
        <v>0.66</v>
      </c>
      <c r="N134" s="327">
        <v>1</v>
      </c>
      <c r="O134" s="329">
        <v>1</v>
      </c>
      <c r="P134" s="329">
        <v>8</v>
      </c>
      <c r="Q134" s="129"/>
      <c r="R134" s="4"/>
    </row>
    <row r="135" spans="1:18" ht="15" outlineLevel="1" thickBot="1">
      <c r="A135" s="4"/>
      <c r="B135" s="4"/>
      <c r="C135" s="7"/>
      <c r="D135" s="402" t="s">
        <v>1369</v>
      </c>
      <c r="E135" s="403"/>
      <c r="F135" s="404">
        <f>F130*F131*F132*F133*F134</f>
        <v>0.99790144962502514</v>
      </c>
      <c r="G135" s="405">
        <f ca="1">(E27) - Table4725103113122[[#This Row],[SLA]]*(E27)</f>
        <v>0.76597088686582993</v>
      </c>
      <c r="H135" s="405">
        <f ca="1">(24*E27) - Table4725103113122[[#This Row],[SLA]]*(24*E27)</f>
        <v>18.383301284779009</v>
      </c>
      <c r="I135" s="405">
        <f ca="1">Table4725103113122[[#This Row],[Downtime/Year (Hours)]]*60</f>
        <v>1102.9980770867405</v>
      </c>
      <c r="J135" s="405">
        <f ca="1">Table4725103113122[[#This Row],[Downtime/Month (Hours)]]/24</f>
        <v>6.3830907238816001E-2</v>
      </c>
      <c r="K135" s="405">
        <f ca="1">Table4725103113122[[#This Row],[Downtime/Year (Hours)]]/12</f>
        <v>1.5319417737315841</v>
      </c>
      <c r="L135" s="405">
        <f ca="1">Table4725103113122[[#This Row],[Downtime/Month (Hours)]]*60</f>
        <v>91.916506423895044</v>
      </c>
      <c r="M135" s="406">
        <f>M130*M131*M132*M133*M134</f>
        <v>4.1250000000000002E-2</v>
      </c>
      <c r="N135" s="407">
        <f>N130*N131*N132*N133*N134</f>
        <v>1</v>
      </c>
      <c r="O135" s="408">
        <f>SUM(O130:O134)</f>
        <v>1</v>
      </c>
      <c r="P135" s="408">
        <f>SUM(P130:P134)</f>
        <v>12</v>
      </c>
      <c r="Q135" s="130"/>
      <c r="R135" s="4"/>
    </row>
    <row r="136" spans="1:18" ht="15" outlineLevel="1" thickTop="1">
      <c r="A136" s="4"/>
      <c r="B136" s="4"/>
      <c r="C136" s="7"/>
      <c r="D136" s="7"/>
      <c r="E136" s="7"/>
      <c r="F136" s="7"/>
      <c r="G136" s="7"/>
      <c r="H136" s="7"/>
      <c r="I136" s="7"/>
      <c r="J136" s="7"/>
      <c r="K136" s="7"/>
      <c r="L136" s="7"/>
      <c r="M136" s="7"/>
      <c r="N136" s="7"/>
      <c r="O136" s="7"/>
      <c r="P136" s="7"/>
      <c r="Q136" s="7"/>
      <c r="R136" s="4"/>
    </row>
    <row r="137" spans="1:18">
      <c r="A137" s="4"/>
      <c r="B137" s="4"/>
      <c r="C137" s="4"/>
      <c r="D137" s="4"/>
      <c r="E137" s="4"/>
      <c r="F137" s="4"/>
      <c r="G137" s="4"/>
      <c r="H137" s="4"/>
      <c r="I137" s="4"/>
      <c r="J137" s="4"/>
      <c r="K137" s="4"/>
      <c r="L137" s="4"/>
      <c r="M137" s="4"/>
      <c r="N137" s="4"/>
      <c r="O137" s="4"/>
      <c r="P137" s="4"/>
      <c r="Q137" s="4"/>
      <c r="R137" s="4"/>
    </row>
    <row r="138" spans="1:18" ht="18.600000000000001">
      <c r="A138" s="4"/>
      <c r="B138" s="4"/>
      <c r="C138" s="102" t="s">
        <v>1376</v>
      </c>
      <c r="D138" s="102"/>
      <c r="E138" s="399"/>
      <c r="F138" s="102"/>
      <c r="G138" s="102"/>
      <c r="H138" s="102"/>
      <c r="I138" s="102"/>
      <c r="J138" s="102"/>
      <c r="K138" s="102"/>
      <c r="L138" s="102"/>
      <c r="M138" s="102"/>
      <c r="N138" s="102"/>
      <c r="O138" s="102"/>
      <c r="P138" s="102"/>
      <c r="Q138" s="102"/>
      <c r="R138" s="4"/>
    </row>
    <row r="139" spans="1:18" outlineLevel="1">
      <c r="A139" s="4"/>
      <c r="B139" s="4"/>
      <c r="C139" s="4"/>
      <c r="D139" s="4"/>
      <c r="E139" s="4"/>
      <c r="F139" s="4"/>
      <c r="G139" s="4"/>
      <c r="H139" s="4"/>
      <c r="I139" s="4"/>
      <c r="J139" s="4"/>
      <c r="K139" s="4"/>
      <c r="L139" s="4"/>
      <c r="M139" s="4"/>
      <c r="N139" s="4"/>
      <c r="O139" s="4"/>
      <c r="P139" s="4"/>
      <c r="Q139" s="4"/>
      <c r="R139" s="4"/>
    </row>
    <row r="140" spans="1:18" outlineLevel="1">
      <c r="A140" s="4"/>
      <c r="B140" s="4"/>
      <c r="C140" s="7"/>
      <c r="D140" s="70"/>
      <c r="E140" s="70"/>
      <c r="F140" s="7"/>
      <c r="G140" s="7"/>
      <c r="H140" s="7"/>
      <c r="I140" s="7"/>
      <c r="J140" s="7"/>
      <c r="K140" s="7"/>
      <c r="L140" s="7"/>
      <c r="M140" s="7"/>
      <c r="N140" s="7"/>
      <c r="O140" s="7"/>
      <c r="P140" s="7"/>
      <c r="Q140" s="7"/>
      <c r="R140" s="4"/>
    </row>
    <row r="141" spans="1:18" ht="16.5" outlineLevel="1">
      <c r="A141" s="4"/>
      <c r="B141" s="4"/>
      <c r="C141" s="54"/>
      <c r="D141" s="18" t="s">
        <v>1361</v>
      </c>
      <c r="E141" s="18" t="s">
        <v>1116</v>
      </c>
      <c r="F141" s="18" t="s">
        <v>207</v>
      </c>
      <c r="G141" s="18" t="s">
        <v>1347</v>
      </c>
      <c r="H141" s="18" t="s">
        <v>1348</v>
      </c>
      <c r="I141" s="18" t="s">
        <v>1349</v>
      </c>
      <c r="J141" s="18" t="s">
        <v>1350</v>
      </c>
      <c r="K141" s="18" t="s">
        <v>1351</v>
      </c>
      <c r="L141" s="18" t="s">
        <v>1352</v>
      </c>
      <c r="M141" s="18" t="s">
        <v>1353</v>
      </c>
      <c r="N141" s="18" t="s">
        <v>1354</v>
      </c>
      <c r="O141" s="18" t="s">
        <v>1362</v>
      </c>
      <c r="P141" s="18" t="s">
        <v>1363</v>
      </c>
      <c r="Q141" s="54"/>
      <c r="R141" s="4"/>
    </row>
    <row r="142" spans="1:18" ht="16.5" outlineLevel="1">
      <c r="A142" s="4"/>
      <c r="B142" s="4"/>
      <c r="C142" s="7"/>
      <c r="D142" s="18" t="s">
        <v>1364</v>
      </c>
      <c r="E142" s="16" t="s">
        <v>1365</v>
      </c>
      <c r="F142" s="325">
        <v>0.99990000000000001</v>
      </c>
      <c r="G142" s="326">
        <f ca="1">(E27) - Table4725102105114123[[#This Row],[SLA]]*(E27)</f>
        <v>3.6499999999989541E-2</v>
      </c>
      <c r="H142" s="326">
        <f ca="1">(24*E27) - Table4725102105114123[[#This Row],[SLA]]*(24*E27)</f>
        <v>0.87600000000020373</v>
      </c>
      <c r="I142" s="326">
        <f ca="1">Table4725102105114123[[#This Row],[Downtime/Year (Hours)]]*60</f>
        <v>52.560000000012224</v>
      </c>
      <c r="J142" s="326">
        <f ca="1">Table4725102105114123[[#This Row],[Downtime/Month (Hours)]]/24</f>
        <v>3.0416666666673742E-3</v>
      </c>
      <c r="K142" s="326">
        <f ca="1">Table4725102105114123[[#This Row],[Downtime/Year (Hours)]]/12</f>
        <v>7.3000000000016982E-2</v>
      </c>
      <c r="L142" s="326">
        <f ca="1">Table4725102105114123[[#This Row],[Downtime/Month (Hours)]]*60</f>
        <v>4.3800000000010186</v>
      </c>
      <c r="M142" s="325">
        <v>0.5</v>
      </c>
      <c r="N142" s="327">
        <v>1</v>
      </c>
      <c r="O142" s="128">
        <v>0</v>
      </c>
      <c r="P142" s="128">
        <v>1</v>
      </c>
      <c r="Q142" s="129"/>
      <c r="R142" s="4"/>
    </row>
    <row r="143" spans="1:18" outlineLevel="1">
      <c r="A143" s="4"/>
      <c r="B143" s="4"/>
      <c r="C143" s="7"/>
      <c r="D143" s="18" t="s">
        <v>977</v>
      </c>
      <c r="E143" s="16" t="s">
        <v>1365</v>
      </c>
      <c r="F143" s="325">
        <v>1</v>
      </c>
      <c r="G143" s="326">
        <f ca="1">(E27) - Table4725102105114123[[#This Row],[SLA]]*(E27)</f>
        <v>0</v>
      </c>
      <c r="H143" s="326">
        <f ca="1">(24*E27) - Table4725102105114123[[#This Row],[SLA]]*(24*E27)</f>
        <v>0</v>
      </c>
      <c r="I143" s="326">
        <f ca="1">Table4725102105114123[[#This Row],[Downtime/Year (Hours)]]*60</f>
        <v>0</v>
      </c>
      <c r="J143" s="326">
        <f ca="1">Table4725102105114123[[#This Row],[Downtime/Month (Hours)]]/24</f>
        <v>0</v>
      </c>
      <c r="K143" s="326">
        <f ca="1">Table4725102105114123[[#This Row],[Downtime/Year (Hours)]]/12</f>
        <v>0</v>
      </c>
      <c r="L143" s="326">
        <f ca="1">Table4725102105114123[[#This Row],[Downtime/Month (Hours)]]*60</f>
        <v>0</v>
      </c>
      <c r="M143" s="325">
        <v>0.5</v>
      </c>
      <c r="N143" s="327">
        <v>1</v>
      </c>
      <c r="O143" s="128">
        <v>0</v>
      </c>
      <c r="P143" s="128">
        <v>1</v>
      </c>
      <c r="Q143" s="129"/>
      <c r="R143" s="4"/>
    </row>
    <row r="144" spans="1:18" outlineLevel="1">
      <c r="A144" s="4"/>
      <c r="B144" s="4"/>
      <c r="C144" s="7"/>
      <c r="D144" s="18" t="s">
        <v>975</v>
      </c>
      <c r="E144" s="16" t="s">
        <v>1365</v>
      </c>
      <c r="F144" s="325">
        <v>0.99950000000000006</v>
      </c>
      <c r="G144" s="326">
        <f ca="1">(E27) - Table4725102105114123[[#This Row],[SLA]]*(E27)</f>
        <v>0.18250000000000455</v>
      </c>
      <c r="H144" s="326">
        <f ca="1">(24*E27) - Table4725102105114123[[#This Row],[SLA]]*(24*E27)</f>
        <v>4.3799999999991996</v>
      </c>
      <c r="I144" s="326">
        <f ca="1">Table4725102105114123[[#This Row],[Downtime/Year (Hours)]]*60</f>
        <v>262.79999999995198</v>
      </c>
      <c r="J144" s="326">
        <f ca="1">Table4725102105114123[[#This Row],[Downtime/Month (Hours)]]/24</f>
        <v>1.5208333333330555E-2</v>
      </c>
      <c r="K144" s="326">
        <f ca="1">Table4725102105114123[[#This Row],[Downtime/Year (Hours)]]/12</f>
        <v>0.36499999999993332</v>
      </c>
      <c r="L144" s="326">
        <f ca="1">Table4725102105114123[[#This Row],[Downtime/Month (Hours)]]*60</f>
        <v>21.899999999995998</v>
      </c>
      <c r="M144" s="325">
        <v>0.5</v>
      </c>
      <c r="N144" s="327">
        <v>1</v>
      </c>
      <c r="O144" s="128">
        <v>0</v>
      </c>
      <c r="P144" s="128">
        <v>1</v>
      </c>
      <c r="Q144" s="129"/>
      <c r="R144" s="4"/>
    </row>
    <row r="145" spans="1:18" outlineLevel="1">
      <c r="A145" s="4"/>
      <c r="B145" s="4"/>
      <c r="C145" s="7"/>
      <c r="D145" s="328" t="s">
        <v>981</v>
      </c>
      <c r="E145" s="16" t="s">
        <v>1365</v>
      </c>
      <c r="F145" s="325">
        <v>0.999</v>
      </c>
      <c r="G145" s="326">
        <f ca="1">(E27) - Table4725102105114123[[#This Row],[SLA]]*(E27)</f>
        <v>0.36500000000000909</v>
      </c>
      <c r="H145" s="326">
        <f ca="1">(24*E27) - Table4725102105114123[[#This Row],[SLA]]*(24*E27)</f>
        <v>8.7600000000002183</v>
      </c>
      <c r="I145" s="326">
        <f ca="1">Table4725102105114123[[#This Row],[Downtime/Year (Hours)]]*60</f>
        <v>525.6000000000131</v>
      </c>
      <c r="J145" s="326">
        <f ca="1">Table4725102105114123[[#This Row],[Downtime/Month (Hours)]]/24</f>
        <v>3.0416666666667425E-2</v>
      </c>
      <c r="K145" s="326">
        <f ca="1">Table4725102105114123[[#This Row],[Downtime/Year (Hours)]]/12</f>
        <v>0.73000000000001819</v>
      </c>
      <c r="L145" s="326">
        <f ca="1">Table4725102105114123[[#This Row],[Downtime/Month (Hours)]]*60</f>
        <v>43.800000000001091</v>
      </c>
      <c r="M145" s="325">
        <v>0.5</v>
      </c>
      <c r="N145" s="327">
        <v>1</v>
      </c>
      <c r="O145" s="128">
        <v>0</v>
      </c>
      <c r="P145" s="128">
        <v>1</v>
      </c>
      <c r="Q145" s="129"/>
      <c r="R145" s="4"/>
    </row>
    <row r="146" spans="1:18" outlineLevel="1">
      <c r="A146" s="4"/>
      <c r="B146" s="4"/>
      <c r="C146" s="7"/>
      <c r="D146" s="18" t="s">
        <v>979</v>
      </c>
      <c r="E146" s="16" t="s">
        <v>1365</v>
      </c>
      <c r="F146" s="325">
        <v>0.99950000000000006</v>
      </c>
      <c r="G146" s="326">
        <f ca="1">(E27) - Table4725102105114123[[#This Row],[SLA]]*(E27)</f>
        <v>0.18250000000000455</v>
      </c>
      <c r="H146" s="326">
        <f ca="1">(24*E27) - Table4725102105114123[[#This Row],[SLA]]*(24*E27)</f>
        <v>4.3799999999991996</v>
      </c>
      <c r="I146" s="326">
        <f ca="1">Table4725102105114123[[#This Row],[Downtime/Year (Hours)]]*60</f>
        <v>262.79999999995198</v>
      </c>
      <c r="J146" s="326">
        <f ca="1">Table4725102105114123[[#This Row],[Downtime/Month (Hours)]]/24</f>
        <v>1.5208333333330555E-2</v>
      </c>
      <c r="K146" s="326">
        <f ca="1">Table4725102105114123[[#This Row],[Downtime/Year (Hours)]]/12</f>
        <v>0.36499999999993332</v>
      </c>
      <c r="L146" s="326">
        <f ca="1">Table4725102105114123[[#This Row],[Downtime/Month (Hours)]]*60</f>
        <v>21.899999999995998</v>
      </c>
      <c r="M146" s="325">
        <v>0.75</v>
      </c>
      <c r="N146" s="327">
        <v>1</v>
      </c>
      <c r="O146" s="128">
        <v>0</v>
      </c>
      <c r="P146" s="128">
        <v>1</v>
      </c>
      <c r="Q146" s="129"/>
      <c r="R146" s="4"/>
    </row>
    <row r="147" spans="1:18" outlineLevel="1">
      <c r="A147" s="4"/>
      <c r="B147" s="4"/>
      <c r="C147" s="7"/>
      <c r="D147" s="18" t="s">
        <v>982</v>
      </c>
      <c r="E147" s="16" t="s">
        <v>1365</v>
      </c>
      <c r="F147" s="325">
        <v>0.99990000000000001</v>
      </c>
      <c r="G147" s="326">
        <f ca="1">(E27) - Table4725102105114123[[#This Row],[SLA]]*(E27)</f>
        <v>3.6499999999989541E-2</v>
      </c>
      <c r="H147" s="326">
        <f ca="1">(24*E27) - Table4725102105114123[[#This Row],[SLA]]*(24*E27)</f>
        <v>0.87600000000020373</v>
      </c>
      <c r="I147" s="326">
        <f ca="1">Table4725102105114123[[#This Row],[Downtime/Year (Hours)]]*60</f>
        <v>52.560000000012224</v>
      </c>
      <c r="J147" s="326">
        <f ca="1">Table4725102105114123[[#This Row],[Downtime/Month (Hours)]]/24</f>
        <v>3.0416666666673742E-3</v>
      </c>
      <c r="K147" s="326">
        <f ca="1">Table4725102105114123[[#This Row],[Downtime/Year (Hours)]]/12</f>
        <v>7.3000000000016982E-2</v>
      </c>
      <c r="L147" s="326">
        <f ca="1">Table4725102105114123[[#This Row],[Downtime/Month (Hours)]]*60</f>
        <v>4.3800000000010186</v>
      </c>
      <c r="M147" s="325">
        <v>0.75</v>
      </c>
      <c r="N147" s="327">
        <v>1</v>
      </c>
      <c r="O147" s="329">
        <v>1</v>
      </c>
      <c r="P147" s="329">
        <v>8</v>
      </c>
      <c r="Q147" s="129"/>
      <c r="R147" s="4"/>
    </row>
    <row r="148" spans="1:18" ht="15" outlineLevel="1" thickBot="1">
      <c r="A148" s="4"/>
      <c r="B148" s="4"/>
      <c r="C148" s="7"/>
      <c r="D148" s="402" t="s">
        <v>1369</v>
      </c>
      <c r="E148" s="403"/>
      <c r="F148" s="404">
        <f>F142*F143*F144*F145*F146*F147</f>
        <v>0.99780165948006261</v>
      </c>
      <c r="G148" s="405">
        <f ca="1">(E27) - Table4725102105114123[[#This Row],[SLA]]*(E27)</f>
        <v>0.80239428977716898</v>
      </c>
      <c r="H148" s="405">
        <f ca="1">(24*E27) - Table4725102105114123[[#This Row],[SLA]]*(24*E27)</f>
        <v>19.257462954650691</v>
      </c>
      <c r="I148" s="405">
        <f ca="1">Table4725102105114123[[#This Row],[Downtime/Year (Hours)]]*60</f>
        <v>1155.4477772790415</v>
      </c>
      <c r="J148" s="405">
        <f ca="1">Table4725102105114123[[#This Row],[Downtime/Month (Hours)]]/24</f>
        <v>6.6866190814759349E-2</v>
      </c>
      <c r="K148" s="405">
        <f ca="1">Table4725102105114123[[#This Row],[Downtime/Year (Hours)]]/12</f>
        <v>1.6047885795542243</v>
      </c>
      <c r="L148" s="405">
        <f ca="1">Table4725102105114123[[#This Row],[Downtime/Month (Hours)]]*60</f>
        <v>96.287314773253456</v>
      </c>
      <c r="M148" s="406">
        <f>M142*M143*M144*M145*M146*M147</f>
        <v>3.515625E-2</v>
      </c>
      <c r="N148" s="407">
        <f>N142*N143*N144*N145*N146*N147</f>
        <v>1</v>
      </c>
      <c r="O148" s="408">
        <f>SUM(O142:O147)</f>
        <v>1</v>
      </c>
      <c r="P148" s="408">
        <f>SUM(P142:P147)</f>
        <v>13</v>
      </c>
      <c r="Q148" s="130"/>
      <c r="R148" s="4"/>
    </row>
    <row r="149" spans="1:18" ht="15" outlineLevel="1" thickTop="1">
      <c r="A149" s="4"/>
      <c r="B149" s="4"/>
      <c r="C149" s="7"/>
      <c r="D149" s="7"/>
      <c r="E149" s="7"/>
      <c r="F149" s="7"/>
      <c r="G149" s="7"/>
      <c r="H149" s="7"/>
      <c r="I149" s="7"/>
      <c r="J149" s="7"/>
      <c r="K149" s="7"/>
      <c r="L149" s="7"/>
      <c r="M149" s="7"/>
      <c r="N149" s="7"/>
      <c r="O149" s="7"/>
      <c r="P149" s="7"/>
      <c r="Q149" s="7"/>
      <c r="R149" s="4"/>
    </row>
    <row r="150" spans="1:18">
      <c r="A150" s="4"/>
      <c r="B150" s="4"/>
      <c r="C150" s="4"/>
      <c r="D150" s="4"/>
      <c r="E150" s="4"/>
      <c r="F150" s="4"/>
      <c r="G150" s="4"/>
      <c r="H150" s="4"/>
      <c r="I150" s="4"/>
      <c r="J150" s="4"/>
      <c r="K150" s="4"/>
      <c r="L150" s="4"/>
      <c r="M150" s="4"/>
      <c r="N150" s="4"/>
      <c r="O150" s="4"/>
      <c r="P150" s="4"/>
      <c r="Q150" s="4"/>
      <c r="R150" s="4"/>
    </row>
    <row r="151" spans="1:18" ht="18.600000000000001">
      <c r="A151" s="4"/>
      <c r="B151" s="4"/>
      <c r="C151" s="102" t="s">
        <v>78</v>
      </c>
      <c r="D151" s="102"/>
      <c r="E151" s="102"/>
      <c r="F151" s="4"/>
      <c r="G151" s="4"/>
      <c r="H151" s="4"/>
      <c r="I151" s="4"/>
      <c r="J151" s="4"/>
      <c r="K151" s="4"/>
      <c r="L151" s="4"/>
      <c r="M151" s="4"/>
      <c r="N151" s="4"/>
      <c r="O151" s="4"/>
      <c r="P151" s="4"/>
      <c r="Q151" s="4"/>
      <c r="R151" s="4"/>
    </row>
    <row r="152" spans="1:18" outlineLevel="1">
      <c r="A152" s="4"/>
      <c r="B152" s="4"/>
      <c r="C152" s="4"/>
      <c r="D152" s="4"/>
      <c r="E152" s="92"/>
      <c r="F152" s="4"/>
      <c r="G152" s="4"/>
      <c r="H152" s="4"/>
      <c r="I152" s="4"/>
      <c r="J152" s="4"/>
      <c r="K152" s="4"/>
      <c r="L152" s="4"/>
      <c r="M152" s="4"/>
      <c r="N152" s="4"/>
      <c r="O152" s="4"/>
      <c r="P152" s="4"/>
      <c r="Q152" s="4"/>
      <c r="R152" s="4"/>
    </row>
    <row r="153" spans="1:18" ht="16.5" outlineLevel="1">
      <c r="A153" s="4"/>
      <c r="B153" s="4"/>
      <c r="C153" s="169">
        <v>1</v>
      </c>
      <c r="D153" s="70" t="s">
        <v>1377</v>
      </c>
      <c r="E153" s="93"/>
      <c r="F153" s="7"/>
      <c r="G153" s="7"/>
      <c r="H153" s="7"/>
      <c r="I153" s="7"/>
      <c r="J153" s="7"/>
      <c r="K153" s="7"/>
      <c r="L153" s="7"/>
      <c r="M153" s="7"/>
      <c r="N153" s="7"/>
      <c r="O153" s="7"/>
      <c r="P153" s="7"/>
      <c r="Q153" s="7"/>
      <c r="R153" s="4"/>
    </row>
    <row r="154" spans="1:18" ht="16.5" outlineLevel="1">
      <c r="A154" s="4"/>
      <c r="B154" s="4"/>
      <c r="C154" s="169">
        <v>2</v>
      </c>
      <c r="D154" s="70" t="s">
        <v>1378</v>
      </c>
      <c r="E154" s="93"/>
      <c r="F154" s="7"/>
      <c r="G154" s="7"/>
      <c r="H154" s="7"/>
      <c r="I154" s="7"/>
      <c r="J154" s="7"/>
      <c r="K154" s="7"/>
      <c r="L154" s="7"/>
      <c r="M154" s="7"/>
      <c r="N154" s="7"/>
      <c r="O154" s="7"/>
      <c r="P154" s="7"/>
      <c r="Q154" s="7"/>
      <c r="R154" s="4"/>
    </row>
    <row r="155" spans="1:18" ht="16.5" outlineLevel="1">
      <c r="A155" s="4"/>
      <c r="B155" s="4"/>
      <c r="C155" s="169">
        <v>3</v>
      </c>
      <c r="D155" s="70" t="s">
        <v>1379</v>
      </c>
      <c r="E155" s="93"/>
      <c r="F155" s="7"/>
      <c r="G155" s="7"/>
      <c r="H155" s="7"/>
      <c r="I155" s="7"/>
      <c r="J155" s="7"/>
      <c r="K155" s="7"/>
      <c r="L155" s="7"/>
      <c r="M155" s="7"/>
      <c r="N155" s="7"/>
      <c r="O155" s="7"/>
      <c r="P155" s="7"/>
      <c r="Q155" s="7"/>
      <c r="R155" s="4"/>
    </row>
    <row r="156" spans="1:18" ht="16.5" outlineLevel="1">
      <c r="A156" s="4"/>
      <c r="B156" s="4"/>
      <c r="C156" s="169">
        <v>4</v>
      </c>
      <c r="D156" s="7" t="s">
        <v>1380</v>
      </c>
      <c r="E156" s="93"/>
      <c r="F156" s="7"/>
      <c r="G156" s="7"/>
      <c r="H156" s="7"/>
      <c r="I156" s="7"/>
      <c r="J156" s="7"/>
      <c r="K156" s="7"/>
      <c r="L156" s="7"/>
      <c r="M156" s="7"/>
      <c r="N156" s="7"/>
      <c r="O156" s="7"/>
      <c r="P156" s="7"/>
      <c r="Q156" s="7"/>
      <c r="R156" s="4"/>
    </row>
    <row r="157" spans="1:18" ht="16.5" outlineLevel="1">
      <c r="A157" s="4"/>
      <c r="B157" s="4"/>
      <c r="C157" s="169">
        <v>5</v>
      </c>
      <c r="D157" s="7" t="s">
        <v>1381</v>
      </c>
      <c r="E157" s="93"/>
      <c r="F157" s="7"/>
      <c r="G157" s="7"/>
      <c r="H157" s="7"/>
      <c r="I157" s="7"/>
      <c r="J157" s="7"/>
      <c r="K157" s="7"/>
      <c r="L157" s="7"/>
      <c r="M157" s="7"/>
      <c r="N157" s="7"/>
      <c r="O157" s="7"/>
      <c r="P157" s="7"/>
      <c r="Q157" s="7"/>
      <c r="R157" s="4"/>
    </row>
    <row r="158" spans="1:18">
      <c r="A158" s="4"/>
      <c r="B158" s="4"/>
      <c r="C158" s="4"/>
      <c r="D158" s="4"/>
      <c r="E158" s="21"/>
      <c r="F158" s="4"/>
      <c r="G158" s="4"/>
      <c r="H158" s="4"/>
      <c r="I158" s="4"/>
      <c r="J158" s="4"/>
      <c r="K158" s="4"/>
      <c r="L158" s="4"/>
      <c r="M158" s="4"/>
      <c r="N158" s="4"/>
      <c r="O158" s="4"/>
      <c r="P158" s="4"/>
      <c r="Q158" s="4"/>
      <c r="R158" s="4"/>
    </row>
  </sheetData>
  <mergeCells count="18">
    <mergeCell ref="E21:H21"/>
    <mergeCell ref="E10:H10"/>
    <mergeCell ref="E11:H11"/>
    <mergeCell ref="E12:H12"/>
    <mergeCell ref="E13:H13"/>
    <mergeCell ref="E14:H14"/>
    <mergeCell ref="E15:H15"/>
    <mergeCell ref="E16:H16"/>
    <mergeCell ref="E17:H17"/>
    <mergeCell ref="E18:H18"/>
    <mergeCell ref="E19:H19"/>
    <mergeCell ref="E20:H20"/>
    <mergeCell ref="E9:H9"/>
    <mergeCell ref="C2:O2"/>
    <mergeCell ref="C3:O3"/>
    <mergeCell ref="E6:H6"/>
    <mergeCell ref="E7:H7"/>
    <mergeCell ref="E8:H8"/>
  </mergeCells>
  <phoneticPr fontId="65"/>
  <hyperlinks>
    <hyperlink ref="E21" r:id="rId1" display="https://learn.microsoft.com/en-us/azure/architecture/web-apps/app-service/architectures/multi-region" xr:uid="{168F4D8C-188A-49F7-9F54-19544C906909}"/>
    <hyperlink ref="D153" r:id="rId2" display="https://github.com/Azure/reliability-workbook" xr:uid="{C3F821E0-7299-4D51-845D-23E25444F2CE}"/>
    <hyperlink ref="D154" r:id="rId3" display="https://learn.microsoft.com/en-us/azure/active-directory/fundamentals/identity-secure-score" xr:uid="{D9B07AF3-44B3-4005-81D9-28F65087E624}"/>
    <hyperlink ref="D155" r:id="rId4" display="https://learn.microsoft.com/en-us/azure/defender-for-cloud/secure-score-access-and-track" xr:uid="{5707FC58-04B3-49F4-BB6C-3FDEE94C8030}"/>
  </hyperlinks>
  <pageMargins left="0.7" right="0.7" top="0.75" bottom="0.75" header="0.3" footer="0.3"/>
  <pageSetup orientation="portrait" r:id="rId5"/>
  <drawing r:id="rId6"/>
  <tableParts count="9">
    <tablePart r:id="rId7"/>
    <tablePart r:id="rId8"/>
    <tablePart r:id="rId9"/>
    <tablePart r:id="rId10"/>
    <tablePart r:id="rId11"/>
    <tablePart r:id="rId12"/>
    <tablePart r:id="rId13"/>
    <tablePart r:id="rId14"/>
    <tablePart r:id="rId15"/>
  </tableParts>
  <extLst>
    <ext xmlns:x14="http://schemas.microsoft.com/office/spreadsheetml/2009/9/main" uri="{78C0D931-6437-407d-A8EE-F0AAD7539E65}">
      <x14:conditionalFormattings>
        <x14:conditionalFormatting xmlns:xm="http://schemas.microsoft.com/office/excel/2006/main">
          <x14:cfRule type="cellIs" priority="1" operator="equal" id="{4E9D24AA-C805-4E2F-B145-2E23FBA8AF86}">
            <xm:f>Data!$L$13</xm:f>
            <x14:dxf>
              <font>
                <color theme="0"/>
              </font>
              <fill>
                <patternFill>
                  <bgColor rgb="FFF25022"/>
                </patternFill>
              </fill>
            </x14:dxf>
          </x14:cfRule>
          <x14:cfRule type="cellIs" priority="2" operator="equal" id="{F7625675-BD14-4632-9A2F-F73F4E245245}">
            <xm:f>Data!$L$12</xm:f>
            <x14:dxf>
              <font>
                <color theme="0"/>
              </font>
              <fill>
                <patternFill>
                  <bgColor rgb="FFF25022"/>
                </patternFill>
              </fill>
            </x14:dxf>
          </x14:cfRule>
          <x14:cfRule type="cellIs" priority="3" operator="equal" id="{820D0883-C874-4CA7-AB3B-C206CD5AA5A1}">
            <xm:f>Data!$L$11</xm:f>
            <x14:dxf>
              <font>
                <color theme="0"/>
              </font>
              <fill>
                <patternFill>
                  <bgColor rgb="FFF25022"/>
                </patternFill>
              </fill>
            </x14:dxf>
          </x14:cfRule>
          <x14:cfRule type="cellIs" priority="4" operator="equal" id="{C439E99E-8158-48AB-B5B5-9EC86E7A9204}">
            <xm:f>Data!$L$10</xm:f>
            <x14:dxf>
              <font>
                <color theme="0"/>
              </font>
              <fill>
                <patternFill>
                  <bgColor rgb="FFF25022"/>
                </patternFill>
              </fill>
            </x14:dxf>
          </x14:cfRule>
          <x14:cfRule type="cellIs" priority="5" operator="equal" id="{8756CDE1-3B08-4DA4-9F20-1A56C5DD3205}">
            <xm:f>Data!$L$6</xm:f>
            <x14:dxf>
              <font>
                <color theme="0"/>
              </font>
              <fill>
                <patternFill>
                  <bgColor rgb="FFF25022"/>
                </patternFill>
              </fill>
            </x14:dxf>
          </x14:cfRule>
          <x14:cfRule type="cellIs" priority="6" operator="equal" id="{8BB6DB3E-12EF-48C3-9151-CF5D56670488}">
            <xm:f>Data!$L$9</xm:f>
            <x14:dxf>
              <font>
                <color theme="1"/>
              </font>
              <fill>
                <patternFill>
                  <bgColor rgb="FF7FBA00"/>
                </patternFill>
              </fill>
            </x14:dxf>
          </x14:cfRule>
          <x14:cfRule type="cellIs" priority="7" operator="equal" id="{B507479D-6B66-49E6-8B9A-0F618EE41D0D}">
            <xm:f>Data!$L$8</xm:f>
            <x14:dxf>
              <font>
                <color theme="1"/>
              </font>
              <fill>
                <patternFill>
                  <bgColor rgb="FF00A4EF"/>
                </patternFill>
              </fill>
            </x14:dxf>
          </x14:cfRule>
          <x14:cfRule type="cellIs" priority="8" operator="equal" id="{6C460C31-3D0C-4095-9ECF-000F21073969}">
            <xm:f>Data!$L$7</xm:f>
            <x14:dxf>
              <font>
                <color theme="1"/>
              </font>
              <fill>
                <patternFill>
                  <bgColor rgb="FFFFB900"/>
                </patternFill>
              </fill>
            </x14:dxf>
          </x14:cfRule>
          <x14:cfRule type="cellIs" priority="9" operator="equal" id="{22BF6CE5-9DDC-48DC-864E-98A713E2878B}">
            <xm:f>Data!$L$5</xm:f>
            <x14:dxf>
              <font>
                <color theme="0"/>
              </font>
              <fill>
                <patternFill>
                  <bgColor rgb="FFF25022"/>
                </patternFill>
              </fill>
            </x14:dxf>
          </x14:cfRule>
          <x14:cfRule type="cellIs" priority="10" operator="equal" id="{B02A97FD-8A7F-4EE0-88F6-043F8193356F}">
            <xm:f>Data!$L$6+Data!$L$14</xm:f>
            <x14:dxf>
              <font>
                <color theme="0"/>
              </font>
              <fill>
                <patternFill>
                  <bgColor rgb="FF747474"/>
                </patternFill>
              </fill>
            </x14:dxf>
          </x14:cfRule>
          <xm:sqref>E14:E15</xm:sqref>
        </x14:conditionalFormatting>
      </x14:conditionalFormatting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AE8939-76AC-404D-A065-DEB15BB50055}">
  <sheetPr>
    <tabColor rgb="FFFFB900"/>
  </sheetPr>
  <dimension ref="A1:N73"/>
  <sheetViews>
    <sheetView showGridLines="0" showRowColHeaders="0" zoomScaleNormal="100" workbookViewId="0">
      <selection activeCell="I21" sqref="I21"/>
    </sheetView>
  </sheetViews>
  <sheetFormatPr defaultColWidth="0" defaultRowHeight="14.45" zeroHeight="1" outlineLevelRow="1"/>
  <cols>
    <col min="1" max="2" width="5.85546875" customWidth="1"/>
    <col min="3" max="3" width="3.85546875" customWidth="1"/>
    <col min="4" max="4" width="18.85546875" bestFit="1" customWidth="1"/>
    <col min="5" max="5" width="57.140625" bestFit="1" customWidth="1"/>
    <col min="6" max="10" width="27.42578125" customWidth="1"/>
    <col min="11" max="11" width="9.85546875" customWidth="1"/>
    <col min="12" max="13" width="8.85546875" customWidth="1"/>
    <col min="14" max="14" width="3.85546875" customWidth="1"/>
    <col min="15" max="16384" width="8.85546875" hidden="1"/>
  </cols>
  <sheetData>
    <row r="1" spans="1:14">
      <c r="A1" s="4"/>
      <c r="B1" s="4"/>
      <c r="C1" s="4"/>
      <c r="D1" s="4"/>
      <c r="E1" s="4"/>
      <c r="F1" s="4"/>
      <c r="G1" s="4"/>
      <c r="H1" s="4"/>
      <c r="I1" s="4"/>
      <c r="J1" s="4"/>
      <c r="K1" s="4"/>
      <c r="L1" s="4"/>
      <c r="M1" s="4"/>
      <c r="N1" s="4"/>
    </row>
    <row r="2" spans="1:14" ht="21">
      <c r="A2" s="4"/>
      <c r="B2" s="4"/>
      <c r="C2" s="618" t="s">
        <v>1382</v>
      </c>
      <c r="D2" s="618"/>
      <c r="E2" s="618"/>
      <c r="F2" s="618"/>
      <c r="G2" s="618"/>
      <c r="H2" s="618"/>
      <c r="I2" s="618"/>
      <c r="J2" s="618"/>
      <c r="K2" s="618"/>
      <c r="L2" s="618"/>
      <c r="M2" s="618"/>
      <c r="N2" s="4"/>
    </row>
    <row r="3" spans="1:14" ht="14.45" customHeight="1">
      <c r="A3" s="4"/>
      <c r="B3" s="4"/>
      <c r="C3" s="646" t="s">
        <v>1383</v>
      </c>
      <c r="D3" s="646"/>
      <c r="E3" s="646"/>
      <c r="F3" s="646"/>
      <c r="G3" s="646"/>
      <c r="H3" s="646"/>
      <c r="I3" s="646"/>
      <c r="J3" s="646"/>
      <c r="K3" s="646"/>
      <c r="L3" s="646"/>
      <c r="M3" s="646"/>
      <c r="N3" s="4"/>
    </row>
    <row r="4" spans="1:14">
      <c r="A4" s="4"/>
      <c r="B4" s="4"/>
      <c r="C4" s="4"/>
      <c r="D4" s="4"/>
      <c r="E4" s="4"/>
      <c r="F4" s="4"/>
      <c r="G4" s="4"/>
      <c r="H4" s="4"/>
      <c r="I4" s="4"/>
      <c r="J4" s="4"/>
      <c r="K4" s="4"/>
      <c r="L4" s="4"/>
      <c r="M4" s="4"/>
      <c r="N4" s="4"/>
    </row>
    <row r="5" spans="1:14">
      <c r="A5" s="4"/>
      <c r="B5" s="4"/>
      <c r="C5" s="7"/>
      <c r="D5" s="54"/>
      <c r="E5" s="54"/>
      <c r="F5" s="54"/>
      <c r="G5" s="54"/>
      <c r="H5" s="54"/>
      <c r="I5" s="54"/>
      <c r="J5" s="54"/>
      <c r="K5" s="54"/>
      <c r="L5" s="7"/>
      <c r="M5" s="7"/>
      <c r="N5" s="4"/>
    </row>
    <row r="6" spans="1:14">
      <c r="A6" s="4"/>
      <c r="B6" s="4"/>
      <c r="C6" s="7"/>
      <c r="D6" s="107" t="s">
        <v>890</v>
      </c>
      <c r="E6" s="244" t="s">
        <v>891</v>
      </c>
      <c r="F6" s="241"/>
      <c r="G6" s="241"/>
      <c r="H6" s="54"/>
      <c r="I6" s="54"/>
      <c r="J6" s="54"/>
      <c r="K6" s="54"/>
      <c r="L6" s="7"/>
      <c r="M6" s="7"/>
      <c r="N6" s="4"/>
    </row>
    <row r="7" spans="1:14">
      <c r="A7" s="4"/>
      <c r="B7" s="4"/>
      <c r="C7" s="7"/>
      <c r="D7" s="107" t="s">
        <v>892</v>
      </c>
      <c r="E7" s="244" t="s">
        <v>893</v>
      </c>
      <c r="F7" s="241"/>
      <c r="G7" s="241"/>
      <c r="H7" s="54"/>
      <c r="I7" s="54"/>
      <c r="J7" s="54"/>
      <c r="K7" s="54"/>
      <c r="L7" s="7"/>
      <c r="M7" s="7"/>
      <c r="N7" s="4"/>
    </row>
    <row r="8" spans="1:14">
      <c r="A8" s="4"/>
      <c r="B8" s="4"/>
      <c r="C8" s="7"/>
      <c r="D8" s="107" t="s">
        <v>117</v>
      </c>
      <c r="E8" s="244" t="s">
        <v>894</v>
      </c>
      <c r="F8" s="241"/>
      <c r="G8" s="241"/>
      <c r="H8" s="54"/>
      <c r="I8" s="54"/>
      <c r="J8" s="54"/>
      <c r="K8" s="54"/>
      <c r="L8" s="7"/>
      <c r="M8" s="7"/>
      <c r="N8" s="4"/>
    </row>
    <row r="9" spans="1:14">
      <c r="A9" s="4"/>
      <c r="B9" s="4"/>
      <c r="C9" s="7"/>
      <c r="D9" s="107" t="s">
        <v>822</v>
      </c>
      <c r="E9" s="244"/>
      <c r="F9" s="241"/>
      <c r="G9" s="241"/>
      <c r="H9" s="54"/>
      <c r="I9" s="54"/>
      <c r="J9" s="54"/>
      <c r="K9" s="54"/>
      <c r="L9" s="7"/>
      <c r="M9" s="7"/>
      <c r="N9" s="4"/>
    </row>
    <row r="10" spans="1:14">
      <c r="A10" s="4"/>
      <c r="B10" s="4"/>
      <c r="C10" s="7"/>
      <c r="D10" s="107" t="s">
        <v>895</v>
      </c>
      <c r="E10" s="244"/>
      <c r="F10" s="241"/>
      <c r="G10" s="241"/>
      <c r="H10" s="54"/>
      <c r="I10" s="54"/>
      <c r="J10" s="54"/>
      <c r="K10" s="54"/>
      <c r="L10" s="7"/>
      <c r="M10" s="7"/>
      <c r="N10" s="4"/>
    </row>
    <row r="11" spans="1:14">
      <c r="A11" s="4"/>
      <c r="B11" s="4"/>
      <c r="C11" s="7"/>
      <c r="D11" s="107" t="s">
        <v>896</v>
      </c>
      <c r="E11" s="244"/>
      <c r="F11" s="241"/>
      <c r="G11" s="241"/>
      <c r="H11" s="54"/>
      <c r="I11" s="54"/>
      <c r="J11" s="54"/>
      <c r="K11" s="54"/>
      <c r="L11" s="7"/>
      <c r="M11" s="7"/>
      <c r="N11" s="4"/>
    </row>
    <row r="12" spans="1:14">
      <c r="A12" s="4"/>
      <c r="B12" s="4"/>
      <c r="C12" s="7"/>
      <c r="D12" s="107" t="s">
        <v>477</v>
      </c>
      <c r="E12" s="244"/>
      <c r="F12" s="241"/>
      <c r="G12" s="241"/>
      <c r="H12" s="54"/>
      <c r="I12" s="54"/>
      <c r="J12" s="54"/>
      <c r="K12" s="54"/>
      <c r="L12" s="7"/>
      <c r="M12" s="7"/>
      <c r="N12" s="4"/>
    </row>
    <row r="13" spans="1:14">
      <c r="A13" s="4"/>
      <c r="B13" s="4"/>
      <c r="C13" s="7"/>
      <c r="D13" s="107" t="s">
        <v>897</v>
      </c>
      <c r="E13" s="244" t="s">
        <v>317</v>
      </c>
      <c r="F13" s="241"/>
      <c r="G13" s="241"/>
      <c r="H13" s="54"/>
      <c r="I13" s="54"/>
      <c r="J13" s="54"/>
      <c r="K13" s="54"/>
      <c r="L13" s="7"/>
      <c r="M13" s="7"/>
      <c r="N13" s="4"/>
    </row>
    <row r="14" spans="1:14">
      <c r="A14" s="4"/>
      <c r="B14" s="4"/>
      <c r="C14" s="7"/>
      <c r="D14" s="107" t="s">
        <v>267</v>
      </c>
      <c r="E14" s="245" t="s">
        <v>328</v>
      </c>
      <c r="F14" s="242"/>
      <c r="G14" s="242"/>
      <c r="H14" s="54"/>
      <c r="I14" s="54"/>
      <c r="J14" s="54"/>
      <c r="K14" s="54"/>
      <c r="L14" s="7"/>
      <c r="M14" s="7"/>
      <c r="N14" s="4"/>
    </row>
    <row r="15" spans="1:14">
      <c r="A15" s="4"/>
      <c r="B15" s="4"/>
      <c r="C15" s="7"/>
      <c r="D15" s="107" t="s">
        <v>898</v>
      </c>
      <c r="E15" s="372" t="s">
        <v>899</v>
      </c>
      <c r="F15" s="242"/>
      <c r="G15" s="242"/>
      <c r="H15" s="54"/>
      <c r="I15" s="54"/>
      <c r="J15" s="54"/>
      <c r="K15" s="54"/>
      <c r="L15" s="7"/>
      <c r="M15" s="7"/>
      <c r="N15" s="4"/>
    </row>
    <row r="16" spans="1:14">
      <c r="A16" s="4"/>
      <c r="B16" s="4"/>
      <c r="C16" s="7"/>
      <c r="D16" s="107" t="s">
        <v>900</v>
      </c>
      <c r="E16" s="246">
        <v>45020</v>
      </c>
      <c r="F16" s="243"/>
      <c r="G16" s="243"/>
      <c r="H16" s="54"/>
      <c r="I16" s="54"/>
      <c r="J16" s="54"/>
      <c r="K16" s="54"/>
      <c r="L16" s="7"/>
      <c r="M16" s="7"/>
      <c r="N16" s="4"/>
    </row>
    <row r="17" spans="1:14">
      <c r="A17" s="4"/>
      <c r="B17" s="4"/>
      <c r="C17" s="7"/>
      <c r="D17" s="107" t="s">
        <v>901</v>
      </c>
      <c r="E17" s="246">
        <v>45386</v>
      </c>
      <c r="F17" s="243"/>
      <c r="G17" s="243"/>
      <c r="H17" s="54"/>
      <c r="I17" s="54"/>
      <c r="J17" s="54"/>
      <c r="K17" s="54"/>
      <c r="L17" s="7"/>
      <c r="M17" s="7"/>
      <c r="N17" s="4"/>
    </row>
    <row r="18" spans="1:14">
      <c r="A18" s="4"/>
      <c r="B18" s="4"/>
      <c r="C18" s="7"/>
      <c r="D18" s="107" t="s">
        <v>902</v>
      </c>
      <c r="E18" s="247">
        <v>43160</v>
      </c>
      <c r="F18" s="87"/>
      <c r="G18" s="87"/>
      <c r="H18" s="54"/>
      <c r="I18" s="54"/>
      <c r="J18" s="54"/>
      <c r="K18" s="54"/>
      <c r="L18" s="7"/>
      <c r="M18" s="7"/>
      <c r="N18" s="4"/>
    </row>
    <row r="19" spans="1:14">
      <c r="A19" s="4"/>
      <c r="B19" s="4"/>
      <c r="C19" s="7"/>
      <c r="D19" s="107" t="s">
        <v>903</v>
      </c>
      <c r="E19" s="247" t="s">
        <v>904</v>
      </c>
      <c r="F19" s="87"/>
      <c r="G19" s="87"/>
      <c r="H19" s="54"/>
      <c r="I19" s="54"/>
      <c r="J19" s="54"/>
      <c r="K19" s="54"/>
      <c r="L19" s="7"/>
      <c r="M19" s="7"/>
      <c r="N19" s="4"/>
    </row>
    <row r="20" spans="1:14">
      <c r="A20" s="4"/>
      <c r="B20" s="4"/>
      <c r="C20" s="7"/>
      <c r="D20" s="107" t="s">
        <v>905</v>
      </c>
      <c r="E20" s="247" t="s">
        <v>906</v>
      </c>
      <c r="F20" s="87"/>
      <c r="G20" s="87"/>
      <c r="H20" s="54"/>
      <c r="I20" s="54"/>
      <c r="J20" s="54"/>
      <c r="K20" s="54"/>
      <c r="L20" s="7"/>
      <c r="M20" s="7"/>
      <c r="N20" s="4"/>
    </row>
    <row r="21" spans="1:14">
      <c r="A21" s="4"/>
      <c r="B21" s="4"/>
      <c r="C21" s="7"/>
      <c r="D21" s="108" t="s">
        <v>907</v>
      </c>
      <c r="E21" s="248" t="s">
        <v>908</v>
      </c>
      <c r="F21" s="67"/>
      <c r="G21" s="67"/>
      <c r="H21" s="54"/>
      <c r="I21" s="54"/>
      <c r="J21" s="54"/>
      <c r="K21" s="54"/>
      <c r="L21" s="7"/>
      <c r="M21" s="7"/>
      <c r="N21" s="4"/>
    </row>
    <row r="22" spans="1:14">
      <c r="A22" s="4"/>
      <c r="B22" s="4"/>
      <c r="C22" s="7"/>
      <c r="D22" s="54"/>
      <c r="E22" s="54"/>
      <c r="F22" s="160"/>
      <c r="G22" s="160"/>
      <c r="H22" s="54"/>
      <c r="I22" s="54"/>
      <c r="J22" s="54"/>
      <c r="K22" s="54"/>
      <c r="L22" s="7"/>
      <c r="M22" s="7"/>
      <c r="N22" s="4"/>
    </row>
    <row r="23" spans="1:14">
      <c r="A23" s="4"/>
      <c r="B23" s="4"/>
      <c r="C23" s="4"/>
      <c r="D23" s="8"/>
      <c r="E23" s="8"/>
      <c r="F23" s="12"/>
      <c r="G23" s="12"/>
      <c r="H23" s="8"/>
      <c r="I23" s="8"/>
      <c r="J23" s="8"/>
      <c r="K23" s="8"/>
      <c r="L23" s="4"/>
      <c r="M23" s="4"/>
      <c r="N23" s="4"/>
    </row>
    <row r="24" spans="1:14">
      <c r="A24" s="4"/>
      <c r="B24" s="4"/>
      <c r="C24" s="7" t="s">
        <v>1384</v>
      </c>
      <c r="D24" s="54"/>
      <c r="E24" s="54"/>
      <c r="F24" s="160"/>
      <c r="G24" s="160"/>
      <c r="H24" s="54"/>
      <c r="I24" s="54"/>
      <c r="J24" s="54"/>
      <c r="K24" s="54"/>
      <c r="L24" s="7"/>
      <c r="M24" s="7"/>
      <c r="N24" s="4"/>
    </row>
    <row r="25" spans="1:14">
      <c r="A25" s="4"/>
      <c r="B25" s="4"/>
      <c r="C25" s="7" t="s">
        <v>1385</v>
      </c>
      <c r="D25" s="7"/>
      <c r="E25" s="7"/>
      <c r="F25" s="7"/>
      <c r="G25" s="7"/>
      <c r="H25" s="7"/>
      <c r="I25" s="7"/>
      <c r="J25" s="7"/>
      <c r="K25" s="7"/>
      <c r="L25" s="7"/>
      <c r="M25" s="7"/>
      <c r="N25" s="4"/>
    </row>
    <row r="26" spans="1:14">
      <c r="A26" s="4"/>
      <c r="B26" s="4"/>
      <c r="C26" s="7" t="s">
        <v>1386</v>
      </c>
      <c r="D26" s="7"/>
      <c r="E26" s="7"/>
      <c r="F26" s="7"/>
      <c r="G26" s="7"/>
      <c r="H26" s="7"/>
      <c r="I26" s="7"/>
      <c r="J26" s="7"/>
      <c r="K26" s="7"/>
      <c r="L26" s="7"/>
      <c r="M26" s="7"/>
      <c r="N26" s="4"/>
    </row>
    <row r="27" spans="1:14">
      <c r="A27" s="4"/>
      <c r="B27" s="4"/>
      <c r="C27" s="7" t="s">
        <v>1387</v>
      </c>
      <c r="D27" s="7"/>
      <c r="E27" s="7"/>
      <c r="F27" s="7"/>
      <c r="G27" s="7"/>
      <c r="H27" s="7"/>
      <c r="I27" s="7"/>
      <c r="J27" s="7"/>
      <c r="K27" s="7"/>
      <c r="L27" s="7"/>
      <c r="M27" s="7"/>
      <c r="N27" s="4"/>
    </row>
    <row r="28" spans="1:14">
      <c r="A28" s="4"/>
      <c r="B28" s="4"/>
      <c r="C28" s="4"/>
      <c r="D28" s="4"/>
      <c r="E28" s="4"/>
      <c r="F28" s="4"/>
      <c r="G28" s="4"/>
      <c r="H28" s="4"/>
      <c r="I28" s="4"/>
      <c r="J28" s="4"/>
      <c r="K28" s="4"/>
      <c r="L28" s="4"/>
      <c r="M28" s="4"/>
      <c r="N28" s="4"/>
    </row>
    <row r="29" spans="1:14">
      <c r="A29" s="4"/>
      <c r="B29" s="4"/>
      <c r="C29" s="4"/>
      <c r="D29" s="4"/>
      <c r="E29" s="4"/>
      <c r="F29" s="4"/>
      <c r="G29" s="4"/>
      <c r="H29" s="4"/>
      <c r="I29" s="4"/>
      <c r="J29" s="4"/>
      <c r="K29" s="4"/>
      <c r="L29" s="4"/>
      <c r="M29" s="4"/>
      <c r="N29" s="4"/>
    </row>
    <row r="30" spans="1:14">
      <c r="A30" s="4"/>
      <c r="B30" s="4"/>
      <c r="C30" s="4"/>
      <c r="D30" s="4"/>
      <c r="E30" s="4"/>
      <c r="F30" s="4"/>
      <c r="G30" s="4"/>
      <c r="H30" s="4"/>
      <c r="I30" s="4"/>
      <c r="J30" s="4"/>
      <c r="K30" s="4"/>
      <c r="L30" s="4"/>
      <c r="M30" s="4"/>
      <c r="N30" s="4"/>
    </row>
    <row r="31" spans="1:14">
      <c r="A31" s="4"/>
      <c r="B31" s="4"/>
      <c r="C31" s="4"/>
      <c r="D31" s="4"/>
      <c r="E31" s="4"/>
      <c r="F31" s="4"/>
      <c r="G31" s="4"/>
      <c r="H31" s="4"/>
      <c r="I31" s="4"/>
      <c r="J31" s="4"/>
      <c r="K31" s="4"/>
      <c r="L31" s="4"/>
      <c r="M31" s="4"/>
      <c r="N31" s="4"/>
    </row>
    <row r="32" spans="1:14">
      <c r="A32" s="4"/>
      <c r="B32" s="4"/>
      <c r="C32" s="4"/>
      <c r="D32" s="4"/>
      <c r="E32" s="4"/>
      <c r="F32" s="4"/>
      <c r="G32" s="4"/>
      <c r="H32" s="4"/>
      <c r="I32" s="4"/>
      <c r="J32" s="4"/>
      <c r="K32" s="4"/>
      <c r="L32" s="4"/>
      <c r="M32" s="4"/>
      <c r="N32" s="4"/>
    </row>
    <row r="33" spans="1:14">
      <c r="A33" s="4"/>
      <c r="B33" s="4"/>
      <c r="C33" s="4"/>
      <c r="D33" s="4"/>
      <c r="E33" s="4"/>
      <c r="F33" s="4"/>
      <c r="G33" s="4"/>
      <c r="H33" s="4"/>
      <c r="I33" s="4"/>
      <c r="J33" s="4"/>
      <c r="K33" s="4"/>
      <c r="L33" s="4"/>
      <c r="M33" s="4"/>
      <c r="N33" s="4"/>
    </row>
    <row r="34" spans="1:14">
      <c r="A34" s="4"/>
      <c r="B34" s="4"/>
      <c r="C34" s="4"/>
      <c r="D34" s="4"/>
      <c r="E34" s="4"/>
      <c r="F34" s="4"/>
      <c r="G34" s="4"/>
      <c r="H34" s="4"/>
      <c r="I34" s="4"/>
      <c r="J34" s="4"/>
      <c r="K34" s="4"/>
      <c r="L34" s="4"/>
      <c r="M34" s="4"/>
      <c r="N34" s="4"/>
    </row>
    <row r="35" spans="1:14">
      <c r="A35" s="4"/>
      <c r="B35" s="4"/>
      <c r="C35" s="4"/>
      <c r="D35" s="4"/>
      <c r="E35" s="4"/>
      <c r="F35" s="4"/>
      <c r="G35" s="4"/>
      <c r="H35" s="4"/>
      <c r="I35" s="4"/>
      <c r="J35" s="4"/>
      <c r="K35" s="4"/>
      <c r="L35" s="4"/>
      <c r="M35" s="4"/>
      <c r="N35" s="4"/>
    </row>
    <row r="36" spans="1:14">
      <c r="A36" s="4"/>
      <c r="B36" s="4"/>
      <c r="C36" s="4"/>
      <c r="D36" s="4"/>
      <c r="E36" s="4"/>
      <c r="F36" s="4"/>
      <c r="G36" s="4"/>
      <c r="H36" s="4"/>
      <c r="I36" s="4"/>
      <c r="J36" s="4"/>
      <c r="K36" s="4"/>
      <c r="L36" s="4"/>
      <c r="M36" s="4"/>
      <c r="N36" s="4"/>
    </row>
    <row r="37" spans="1:14">
      <c r="A37" s="4"/>
      <c r="B37" s="4"/>
      <c r="C37" s="4"/>
      <c r="D37" s="4"/>
      <c r="E37" s="4"/>
      <c r="F37" s="4"/>
      <c r="G37" s="4"/>
      <c r="H37" s="4"/>
      <c r="I37" s="4"/>
      <c r="J37" s="4"/>
      <c r="K37" s="4"/>
      <c r="L37" s="4"/>
      <c r="M37" s="4"/>
      <c r="N37" s="4"/>
    </row>
    <row r="38" spans="1:14">
      <c r="A38" s="4"/>
      <c r="B38" s="4"/>
      <c r="C38" s="4"/>
      <c r="D38" s="4"/>
      <c r="E38" s="4"/>
      <c r="F38" s="4"/>
      <c r="G38" s="4"/>
      <c r="H38" s="4"/>
      <c r="I38" s="4"/>
      <c r="J38" s="4"/>
      <c r="K38" s="4"/>
      <c r="L38" s="4"/>
      <c r="M38" s="4"/>
      <c r="N38" s="4"/>
    </row>
    <row r="39" spans="1:14">
      <c r="A39" s="4"/>
      <c r="B39" s="4"/>
      <c r="C39" s="4"/>
      <c r="D39" s="4"/>
      <c r="E39" s="4"/>
      <c r="F39" s="4"/>
      <c r="G39" s="4"/>
      <c r="H39" s="4"/>
      <c r="I39" s="4"/>
      <c r="J39" s="4"/>
      <c r="K39" s="4"/>
      <c r="L39" s="4"/>
      <c r="M39" s="4"/>
      <c r="N39" s="4"/>
    </row>
    <row r="40" spans="1:14">
      <c r="A40" s="4"/>
      <c r="B40" s="4"/>
      <c r="C40" s="4"/>
      <c r="D40" s="4"/>
      <c r="E40" s="4"/>
      <c r="F40" s="4"/>
      <c r="G40" s="4"/>
      <c r="H40" s="4"/>
      <c r="I40" s="4"/>
      <c r="J40" s="4"/>
      <c r="K40" s="4"/>
      <c r="L40" s="4"/>
      <c r="M40" s="4"/>
      <c r="N40" s="4"/>
    </row>
    <row r="41" spans="1:14">
      <c r="A41" s="4"/>
      <c r="B41" s="4"/>
      <c r="C41" s="4"/>
      <c r="D41" s="4"/>
      <c r="E41" s="4"/>
      <c r="F41" s="4"/>
      <c r="G41" s="4"/>
      <c r="H41" s="4"/>
      <c r="I41" s="4"/>
      <c r="J41" s="4"/>
      <c r="K41" s="4"/>
      <c r="L41" s="4"/>
      <c r="M41" s="4"/>
      <c r="N41" s="4"/>
    </row>
    <row r="42" spans="1:14">
      <c r="A42" s="4"/>
      <c r="B42" s="4"/>
      <c r="C42" s="4"/>
      <c r="D42" s="4"/>
      <c r="E42" s="4"/>
      <c r="F42" s="4"/>
      <c r="G42" s="4"/>
      <c r="H42" s="4"/>
      <c r="I42" s="4"/>
      <c r="J42" s="4"/>
      <c r="K42" s="4"/>
      <c r="L42" s="4"/>
      <c r="M42" s="4"/>
      <c r="N42" s="4"/>
    </row>
    <row r="43" spans="1:14">
      <c r="A43" s="4"/>
      <c r="B43" s="4"/>
      <c r="C43" s="4"/>
      <c r="D43" s="4"/>
      <c r="E43" s="4"/>
      <c r="F43" s="4"/>
      <c r="G43" s="4"/>
      <c r="H43" s="4"/>
      <c r="I43" s="4"/>
      <c r="J43" s="4"/>
      <c r="K43" s="4"/>
      <c r="L43" s="4"/>
      <c r="M43" s="4"/>
      <c r="N43" s="4"/>
    </row>
    <row r="44" spans="1:14">
      <c r="A44" s="4"/>
      <c r="B44" s="4"/>
      <c r="C44" s="4"/>
      <c r="D44" s="4"/>
      <c r="E44" s="4"/>
      <c r="F44" s="4"/>
      <c r="G44" s="4"/>
      <c r="H44" s="4"/>
      <c r="I44" s="4"/>
      <c r="J44" s="4"/>
      <c r="K44" s="4"/>
      <c r="L44" s="4"/>
      <c r="M44" s="4"/>
      <c r="N44" s="4"/>
    </row>
    <row r="45" spans="1:14">
      <c r="A45" s="4"/>
      <c r="B45" s="4"/>
      <c r="C45" s="4"/>
      <c r="D45" s="4"/>
      <c r="E45" s="4"/>
      <c r="F45" s="4"/>
      <c r="G45" s="4"/>
      <c r="H45" s="4"/>
      <c r="I45" s="4"/>
      <c r="J45" s="4"/>
      <c r="K45" s="4"/>
      <c r="L45" s="4"/>
      <c r="M45" s="4"/>
      <c r="N45" s="4"/>
    </row>
    <row r="46" spans="1:14">
      <c r="A46" s="4"/>
      <c r="B46" s="4"/>
      <c r="C46" s="4"/>
      <c r="D46" s="4"/>
      <c r="E46" s="4"/>
      <c r="F46" s="4"/>
      <c r="G46" s="4"/>
      <c r="H46" s="4"/>
      <c r="I46" s="4"/>
      <c r="J46" s="4"/>
      <c r="K46" s="4"/>
      <c r="L46" s="4"/>
      <c r="M46" s="4"/>
      <c r="N46" s="4"/>
    </row>
    <row r="47" spans="1:14">
      <c r="A47" s="4"/>
      <c r="B47" s="4"/>
      <c r="C47" s="4"/>
      <c r="D47" s="4"/>
      <c r="E47" s="4"/>
      <c r="F47" s="4"/>
      <c r="G47" s="4"/>
      <c r="H47" s="4"/>
      <c r="I47" s="4"/>
      <c r="J47" s="4"/>
      <c r="K47" s="4"/>
      <c r="L47" s="4"/>
      <c r="M47" s="4"/>
      <c r="N47" s="4"/>
    </row>
    <row r="48" spans="1:14">
      <c r="A48" s="4"/>
      <c r="B48" s="4"/>
      <c r="C48" s="4"/>
      <c r="D48" s="4"/>
      <c r="E48" s="4"/>
      <c r="F48" s="4"/>
      <c r="G48" s="4"/>
      <c r="H48" s="4"/>
      <c r="I48" s="4"/>
      <c r="J48" s="4"/>
      <c r="K48" s="4"/>
      <c r="L48" s="4"/>
      <c r="M48" s="4"/>
      <c r="N48" s="4"/>
    </row>
    <row r="49" spans="1:14">
      <c r="A49" s="4"/>
      <c r="B49" s="4"/>
      <c r="C49" s="4"/>
      <c r="D49" s="4"/>
      <c r="E49" s="4"/>
      <c r="F49" s="4"/>
      <c r="G49" s="4"/>
      <c r="H49" s="4"/>
      <c r="I49" s="4"/>
      <c r="J49" s="4"/>
      <c r="K49" s="4"/>
      <c r="L49" s="4"/>
      <c r="M49" s="4"/>
      <c r="N49" s="4"/>
    </row>
    <row r="50" spans="1:14">
      <c r="A50" s="4"/>
      <c r="B50" s="4"/>
      <c r="C50" s="4"/>
      <c r="D50" s="4"/>
      <c r="E50" s="4"/>
      <c r="F50" s="4"/>
      <c r="G50" s="4"/>
      <c r="H50" s="4"/>
      <c r="I50" s="4"/>
      <c r="J50" s="4"/>
      <c r="K50" s="4"/>
      <c r="L50" s="4"/>
      <c r="M50" s="4"/>
      <c r="N50" s="4"/>
    </row>
    <row r="51" spans="1:14">
      <c r="A51" s="4"/>
      <c r="B51" s="4"/>
      <c r="C51" s="4"/>
      <c r="D51" s="4"/>
      <c r="E51" s="4"/>
      <c r="F51" s="4"/>
      <c r="G51" s="4"/>
      <c r="H51" s="4"/>
      <c r="I51" s="4"/>
      <c r="J51" s="4"/>
      <c r="K51" s="4"/>
      <c r="L51" s="4"/>
      <c r="M51" s="4"/>
      <c r="N51" s="4"/>
    </row>
    <row r="52" spans="1:14">
      <c r="A52" s="4"/>
      <c r="B52" s="4"/>
      <c r="C52" s="4"/>
      <c r="D52" s="4"/>
      <c r="E52" s="4"/>
      <c r="F52" s="4"/>
      <c r="G52" s="4"/>
      <c r="H52" s="4"/>
      <c r="I52" s="4"/>
      <c r="J52" s="4"/>
      <c r="K52" s="4"/>
      <c r="L52" s="4"/>
      <c r="M52" s="4"/>
      <c r="N52" s="4"/>
    </row>
    <row r="53" spans="1:14">
      <c r="A53" s="4"/>
      <c r="B53" s="4"/>
      <c r="C53" s="4"/>
      <c r="D53" s="4"/>
      <c r="E53" s="4"/>
      <c r="F53" s="4"/>
      <c r="G53" s="4"/>
      <c r="H53" s="4"/>
      <c r="I53" s="4"/>
      <c r="J53" s="4"/>
      <c r="K53" s="4"/>
      <c r="L53" s="4"/>
      <c r="M53" s="4"/>
      <c r="N53" s="4"/>
    </row>
    <row r="54" spans="1:14">
      <c r="A54" s="4"/>
      <c r="B54" s="4"/>
      <c r="C54" s="4"/>
      <c r="D54" s="4"/>
      <c r="E54" s="4"/>
      <c r="F54" s="4"/>
      <c r="G54" s="4"/>
      <c r="H54" s="4"/>
      <c r="I54" s="4"/>
      <c r="J54" s="4"/>
      <c r="K54" s="4"/>
      <c r="L54" s="4"/>
      <c r="M54" s="4"/>
      <c r="N54" s="4"/>
    </row>
    <row r="55" spans="1:14">
      <c r="A55" s="4"/>
      <c r="B55" s="4"/>
      <c r="C55" s="4"/>
      <c r="D55" s="4"/>
      <c r="E55" s="4"/>
      <c r="F55" s="4"/>
      <c r="G55" s="4"/>
      <c r="H55" s="4"/>
      <c r="I55" s="4"/>
      <c r="J55" s="4"/>
      <c r="K55" s="4"/>
      <c r="L55" s="4"/>
      <c r="M55" s="4"/>
      <c r="N55" s="4"/>
    </row>
    <row r="56" spans="1:14">
      <c r="A56" s="4"/>
      <c r="B56" s="4"/>
      <c r="C56" s="4"/>
      <c r="D56" s="4"/>
      <c r="E56" s="4"/>
      <c r="F56" s="4"/>
      <c r="G56" s="4"/>
      <c r="H56" s="4"/>
      <c r="I56" s="4"/>
      <c r="J56" s="4"/>
      <c r="K56" s="4"/>
      <c r="L56" s="4"/>
      <c r="M56" s="4"/>
      <c r="N56" s="4"/>
    </row>
    <row r="57" spans="1:14">
      <c r="A57" s="4"/>
      <c r="B57" s="4"/>
      <c r="C57" s="4"/>
      <c r="D57" s="4"/>
      <c r="E57" s="4"/>
      <c r="F57" s="4"/>
      <c r="G57" s="4"/>
      <c r="H57" s="4"/>
      <c r="I57" s="4"/>
      <c r="J57" s="4"/>
      <c r="K57" s="4"/>
      <c r="L57" s="4"/>
      <c r="M57" s="4"/>
      <c r="N57" s="4"/>
    </row>
    <row r="58" spans="1:14">
      <c r="A58" s="4"/>
      <c r="B58" s="4"/>
      <c r="C58" s="4"/>
      <c r="D58" s="4"/>
      <c r="E58" s="4"/>
      <c r="F58" s="4"/>
      <c r="G58" s="4"/>
      <c r="H58" s="4"/>
      <c r="I58" s="4"/>
      <c r="J58" s="4"/>
      <c r="K58" s="4"/>
      <c r="L58" s="4"/>
      <c r="M58" s="4"/>
      <c r="N58" s="4"/>
    </row>
    <row r="59" spans="1:14">
      <c r="A59" s="4"/>
      <c r="B59" s="4"/>
      <c r="C59" s="4"/>
      <c r="D59" s="4"/>
      <c r="E59" s="4"/>
      <c r="F59" s="4"/>
      <c r="G59" s="4"/>
      <c r="H59" s="4"/>
      <c r="I59" s="4"/>
      <c r="J59" s="4"/>
      <c r="K59" s="4"/>
      <c r="L59" s="4"/>
      <c r="M59" s="4"/>
      <c r="N59" s="4"/>
    </row>
    <row r="60" spans="1:14">
      <c r="A60" s="4"/>
      <c r="B60" s="4"/>
      <c r="C60" s="4"/>
      <c r="D60" s="4"/>
      <c r="E60" s="4"/>
      <c r="F60" s="4"/>
      <c r="G60" s="4"/>
      <c r="H60" s="4"/>
      <c r="I60" s="4"/>
      <c r="J60" s="4"/>
      <c r="K60" s="4"/>
      <c r="L60" s="4"/>
      <c r="M60" s="4"/>
      <c r="N60" s="4"/>
    </row>
    <row r="61" spans="1:14">
      <c r="A61" s="4"/>
      <c r="B61" s="4"/>
      <c r="C61" s="4"/>
      <c r="D61" s="4"/>
      <c r="E61" s="4"/>
      <c r="F61" s="4"/>
      <c r="G61" s="4"/>
      <c r="H61" s="4"/>
      <c r="I61" s="4"/>
      <c r="J61" s="4"/>
      <c r="K61" s="4"/>
      <c r="L61" s="4"/>
      <c r="M61" s="4"/>
      <c r="N61" s="4"/>
    </row>
    <row r="62" spans="1:14">
      <c r="A62" s="4"/>
      <c r="B62" s="4"/>
      <c r="C62" s="4"/>
      <c r="D62" s="4"/>
      <c r="E62" s="4"/>
      <c r="F62" s="4"/>
      <c r="G62" s="4"/>
      <c r="H62" s="4"/>
      <c r="I62" s="4"/>
      <c r="J62" s="4"/>
      <c r="K62" s="4"/>
      <c r="L62" s="4"/>
      <c r="M62" s="4"/>
      <c r="N62" s="4"/>
    </row>
    <row r="63" spans="1:14">
      <c r="A63" s="4"/>
      <c r="B63" s="4"/>
      <c r="C63" s="4"/>
      <c r="D63" s="4"/>
      <c r="E63" s="4"/>
      <c r="F63" s="4"/>
      <c r="G63" s="4"/>
      <c r="H63" s="4"/>
      <c r="I63" s="4"/>
      <c r="J63" s="4"/>
      <c r="K63" s="4"/>
      <c r="L63" s="4"/>
      <c r="M63" s="4"/>
      <c r="N63" s="4"/>
    </row>
    <row r="64" spans="1:14">
      <c r="A64" s="4"/>
      <c r="B64" s="4"/>
      <c r="C64" s="4"/>
      <c r="D64" s="4"/>
      <c r="E64" s="4"/>
      <c r="F64" s="4"/>
      <c r="G64" s="4"/>
      <c r="H64" s="4"/>
      <c r="I64" s="4"/>
      <c r="J64" s="4"/>
      <c r="K64" s="4"/>
      <c r="L64" s="4"/>
      <c r="M64" s="4"/>
      <c r="N64" s="4"/>
    </row>
    <row r="65" spans="1:14">
      <c r="A65" s="4"/>
      <c r="B65" s="4"/>
      <c r="C65" s="4"/>
      <c r="D65" s="4"/>
      <c r="E65" s="4"/>
      <c r="F65" s="4"/>
      <c r="G65" s="4"/>
      <c r="H65" s="4"/>
      <c r="I65" s="4"/>
      <c r="J65" s="4"/>
      <c r="K65" s="4"/>
      <c r="L65" s="4"/>
      <c r="M65" s="4"/>
      <c r="N65" s="4"/>
    </row>
    <row r="66" spans="1:14">
      <c r="A66" s="4"/>
      <c r="B66" s="4"/>
      <c r="C66" s="4"/>
      <c r="D66" s="4"/>
      <c r="E66" s="4"/>
      <c r="F66" s="4"/>
      <c r="G66" s="4"/>
      <c r="H66" s="4"/>
      <c r="I66" s="4"/>
      <c r="J66" s="4"/>
      <c r="K66" s="4"/>
      <c r="L66" s="4"/>
      <c r="M66" s="4"/>
      <c r="N66" s="4"/>
    </row>
    <row r="67" spans="1:14" ht="18.600000000000001">
      <c r="A67" s="4"/>
      <c r="B67" s="4"/>
      <c r="C67" s="102" t="s">
        <v>78</v>
      </c>
      <c r="D67" s="102"/>
      <c r="E67" s="102"/>
      <c r="F67" s="102"/>
      <c r="G67" s="102"/>
      <c r="H67" s="102"/>
      <c r="I67" s="102"/>
      <c r="J67" s="102"/>
      <c r="K67" s="102"/>
      <c r="L67" s="4"/>
      <c r="M67" s="4"/>
      <c r="N67" s="4"/>
    </row>
    <row r="68" spans="1:14" outlineLevel="1">
      <c r="A68" s="4"/>
      <c r="B68" s="4"/>
      <c r="C68" s="4"/>
      <c r="D68" s="4"/>
      <c r="E68" s="4"/>
      <c r="F68" s="4"/>
      <c r="G68" s="4"/>
      <c r="H68" s="4"/>
      <c r="I68" s="4"/>
      <c r="J68" s="4"/>
      <c r="K68" s="4"/>
      <c r="L68" s="4"/>
      <c r="M68" s="4"/>
      <c r="N68" s="4"/>
    </row>
    <row r="69" spans="1:14" ht="16.5" outlineLevel="1">
      <c r="A69" s="4"/>
      <c r="B69" s="4"/>
      <c r="C69" s="169">
        <v>1</v>
      </c>
      <c r="D69" s="7" t="s">
        <v>1388</v>
      </c>
      <c r="E69" s="7"/>
      <c r="F69" s="7"/>
      <c r="G69" s="7"/>
      <c r="H69" s="7"/>
      <c r="I69" s="7"/>
      <c r="J69" s="7"/>
      <c r="K69" s="7"/>
      <c r="L69" s="7"/>
      <c r="M69" s="7"/>
      <c r="N69" s="4"/>
    </row>
    <row r="70" spans="1:14" ht="16.5" outlineLevel="1">
      <c r="A70" s="4"/>
      <c r="B70" s="4"/>
      <c r="C70" s="169">
        <v>2</v>
      </c>
      <c r="D70" s="7" t="s">
        <v>1389</v>
      </c>
      <c r="E70" s="7"/>
      <c r="F70" s="7"/>
      <c r="G70" s="7"/>
      <c r="H70" s="7"/>
      <c r="I70" s="7"/>
      <c r="J70" s="7"/>
      <c r="K70" s="7"/>
      <c r="L70" s="7"/>
      <c r="M70" s="7"/>
      <c r="N70" s="4"/>
    </row>
    <row r="71" spans="1:14" ht="16.5" outlineLevel="1">
      <c r="A71" s="4"/>
      <c r="B71" s="4"/>
      <c r="C71" s="169">
        <v>3</v>
      </c>
      <c r="D71" s="70" t="s">
        <v>1390</v>
      </c>
      <c r="E71" s="7"/>
      <c r="F71" s="7"/>
      <c r="G71" s="7"/>
      <c r="H71" s="7"/>
      <c r="I71" s="7"/>
      <c r="J71" s="7"/>
      <c r="K71" s="7"/>
      <c r="L71" s="7"/>
      <c r="M71" s="7"/>
      <c r="N71" s="4"/>
    </row>
    <row r="72" spans="1:14" outlineLevel="1">
      <c r="A72" s="4"/>
      <c r="B72" s="4"/>
      <c r="C72" s="70" t="s">
        <v>1391</v>
      </c>
      <c r="E72" s="7"/>
      <c r="F72" s="7"/>
      <c r="G72" s="7"/>
      <c r="H72" s="7"/>
      <c r="I72" s="7"/>
      <c r="J72" s="7"/>
      <c r="K72" s="7"/>
      <c r="L72" s="7"/>
      <c r="M72" s="7"/>
      <c r="N72" s="4"/>
    </row>
    <row r="73" spans="1:14">
      <c r="A73" s="4"/>
      <c r="B73" s="4"/>
      <c r="C73" s="4"/>
      <c r="D73" s="4"/>
      <c r="E73" s="4"/>
      <c r="F73" s="4"/>
      <c r="G73" s="4"/>
      <c r="H73" s="4"/>
      <c r="I73" s="4"/>
      <c r="J73" s="4"/>
      <c r="K73" s="4"/>
      <c r="L73" s="4"/>
      <c r="M73" s="4"/>
      <c r="N73" s="4"/>
    </row>
  </sheetData>
  <mergeCells count="2">
    <mergeCell ref="C2:M2"/>
    <mergeCell ref="C3:M3"/>
  </mergeCells>
  <phoneticPr fontId="65"/>
  <hyperlinks>
    <hyperlink ref="C72" r:id="rId1" location="event-scope-and-strategy" display="https://learn.microsoft.com/en-us/azure/architecture/data-guide/disaster-recovery/dr-for-azure-data-platform-recommendations - event-scope-and-strategy" xr:uid="{079B1350-E3D9-4950-88D5-AA90B7B2F80D}"/>
    <hyperlink ref="E21" r:id="rId2" display="https://learn.microsoft.com/en-us/azure/architecture/web-apps/app-service/architectures/multi-region" xr:uid="{F2288AFF-031E-4453-B024-B0CC4C1D04DB}"/>
    <hyperlink ref="D71" location="'5 Risk'!A1" display="Refer to risk assessment for more information" xr:uid="{E50BDB43-A6F1-437F-B589-2C9440DB951D}"/>
  </hyperlinks>
  <pageMargins left="0.7" right="0.7" top="0.75" bottom="0.75" header="0.3" footer="0.3"/>
  <pageSetup orientation="portrait" r:id="rId3"/>
  <drawing r:id="rId4"/>
  <extLst>
    <ext xmlns:x14="http://schemas.microsoft.com/office/spreadsheetml/2009/9/main" uri="{78C0D931-6437-407d-A8EE-F0AAD7539E65}">
      <x14:conditionalFormattings>
        <x14:conditionalFormatting xmlns:xm="http://schemas.microsoft.com/office/excel/2006/main">
          <x14:cfRule type="cellIs" priority="1" operator="equal" id="{77B7ACC6-95C4-4DBB-AF52-A4637986D100}">
            <xm:f>Data!$L$13</xm:f>
            <x14:dxf>
              <font>
                <color theme="0"/>
              </font>
              <fill>
                <patternFill>
                  <bgColor rgb="FFF25022"/>
                </patternFill>
              </fill>
            </x14:dxf>
          </x14:cfRule>
          <x14:cfRule type="cellIs" priority="2" operator="equal" id="{F9CB7F3D-4A77-4D46-9B81-CCD2E9301479}">
            <xm:f>Data!$L$12</xm:f>
            <x14:dxf>
              <font>
                <color theme="0"/>
              </font>
              <fill>
                <patternFill>
                  <bgColor rgb="FFF25022"/>
                </patternFill>
              </fill>
            </x14:dxf>
          </x14:cfRule>
          <x14:cfRule type="cellIs" priority="3" operator="equal" id="{342DCEFF-8410-4B24-9B31-467ADE462131}">
            <xm:f>Data!$L$11</xm:f>
            <x14:dxf>
              <font>
                <color theme="0"/>
              </font>
              <fill>
                <patternFill>
                  <bgColor rgb="FFF25022"/>
                </patternFill>
              </fill>
            </x14:dxf>
          </x14:cfRule>
          <x14:cfRule type="cellIs" priority="4" operator="equal" id="{BD21AB99-998F-477B-B365-7828280DB9C6}">
            <xm:f>Data!$L$10</xm:f>
            <x14:dxf>
              <font>
                <color theme="0"/>
              </font>
              <fill>
                <patternFill>
                  <bgColor rgb="FFF25022"/>
                </patternFill>
              </fill>
            </x14:dxf>
          </x14:cfRule>
          <x14:cfRule type="cellIs" priority="5" operator="equal" id="{754A2880-F187-4D8E-95EE-2C4E10B2CD62}">
            <xm:f>Data!$L$6</xm:f>
            <x14:dxf>
              <font>
                <color theme="0"/>
              </font>
              <fill>
                <patternFill>
                  <bgColor rgb="FFF25022"/>
                </patternFill>
              </fill>
            </x14:dxf>
          </x14:cfRule>
          <x14:cfRule type="cellIs" priority="6" operator="equal" id="{D1800A29-7904-4618-BD23-645582940DAC}">
            <xm:f>Data!$L$9</xm:f>
            <x14:dxf>
              <font>
                <color theme="1"/>
              </font>
              <fill>
                <patternFill>
                  <bgColor rgb="FF7FBA00"/>
                </patternFill>
              </fill>
            </x14:dxf>
          </x14:cfRule>
          <x14:cfRule type="cellIs" priority="7" operator="equal" id="{0DDB07DD-1C5E-49B3-A374-C098E54286DE}">
            <xm:f>Data!$L$8</xm:f>
            <x14:dxf>
              <font>
                <color theme="1"/>
              </font>
              <fill>
                <patternFill>
                  <bgColor rgb="FF00A4EF"/>
                </patternFill>
              </fill>
            </x14:dxf>
          </x14:cfRule>
          <x14:cfRule type="cellIs" priority="8" operator="equal" id="{3B60CF9B-AE43-4F6D-A86F-A38C51B6CA8C}">
            <xm:f>Data!$L$7</xm:f>
            <x14:dxf>
              <font>
                <color theme="1"/>
              </font>
              <fill>
                <patternFill>
                  <bgColor rgb="FFFFB900"/>
                </patternFill>
              </fill>
            </x14:dxf>
          </x14:cfRule>
          <x14:cfRule type="cellIs" priority="9" operator="equal" id="{C5C8858C-0002-4854-8CCE-E4966F5A681B}">
            <xm:f>Data!$L$5</xm:f>
            <x14:dxf>
              <font>
                <color theme="0"/>
              </font>
              <fill>
                <patternFill>
                  <bgColor rgb="FFF25022"/>
                </patternFill>
              </fill>
            </x14:dxf>
          </x14:cfRule>
          <x14:cfRule type="cellIs" priority="10" operator="equal" id="{4B2B8BEB-1439-47C8-8089-D7A9ED19D4BC}">
            <xm:f>Data!$L$6+Data!$L$14</xm:f>
            <x14:dxf>
              <font>
                <color theme="0"/>
              </font>
              <fill>
                <patternFill>
                  <bgColor rgb="FF747474"/>
                </patternFill>
              </fill>
            </x14:dxf>
          </x14:cfRule>
          <xm:sqref>E14:E15</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D22E50-813C-481A-AAB5-76D998E03743}">
  <dimension ref="A1:AD98"/>
  <sheetViews>
    <sheetView showGridLines="0" showRowColHeaders="0" tabSelected="1" zoomScaleNormal="100" workbookViewId="0">
      <selection activeCell="A2" sqref="A2"/>
    </sheetView>
  </sheetViews>
  <sheetFormatPr defaultColWidth="0" defaultRowHeight="14.45" zeroHeight="1" outlineLevelRow="1"/>
  <cols>
    <col min="1" max="1" width="5.85546875" customWidth="1"/>
    <col min="2" max="3" width="3.85546875" customWidth="1"/>
    <col min="4" max="4" width="8.85546875" customWidth="1"/>
    <col min="5" max="5" width="48.42578125" bestFit="1" customWidth="1"/>
    <col min="6" max="6" width="8.85546875" customWidth="1"/>
    <col min="7" max="8" width="3.85546875" customWidth="1"/>
    <col min="9" max="9" width="8.85546875" customWidth="1"/>
    <col min="10" max="10" width="7.5703125" customWidth="1"/>
    <col min="11" max="12" width="3.85546875" customWidth="1"/>
    <col min="13" max="13" width="8.85546875" customWidth="1"/>
    <col min="14" max="14" width="77.140625" bestFit="1" customWidth="1"/>
    <col min="15" max="15" width="8.85546875" customWidth="1"/>
    <col min="16" max="18" width="3.85546875" customWidth="1"/>
    <col min="19" max="19" width="8.85546875" customWidth="1"/>
    <col min="20" max="20" width="7.5703125" customWidth="1"/>
    <col min="21" max="22" width="3.85546875" customWidth="1"/>
    <col min="23" max="23" width="8.85546875" customWidth="1"/>
    <col min="24" max="24" width="48.42578125" bestFit="1" customWidth="1"/>
    <col min="25" max="25" width="13.42578125" bestFit="1" customWidth="1"/>
    <col min="26" max="27" width="3.85546875" customWidth="1"/>
    <col min="28" max="28" width="5.85546875" customWidth="1"/>
    <col min="29" max="30" width="0" hidden="1" customWidth="1"/>
    <col min="31" max="16384" width="8.85546875" hidden="1"/>
  </cols>
  <sheetData>
    <row r="1" spans="1:28">
      <c r="A1" s="4"/>
      <c r="B1" s="4"/>
      <c r="C1" s="4"/>
      <c r="D1" s="4"/>
      <c r="E1" s="4"/>
      <c r="F1" s="4"/>
      <c r="G1" s="4"/>
      <c r="H1" s="4"/>
      <c r="I1" s="4"/>
      <c r="J1" s="4"/>
      <c r="K1" s="4"/>
      <c r="L1" s="4"/>
      <c r="M1" s="4"/>
      <c r="N1" s="4"/>
      <c r="O1" s="4"/>
      <c r="P1" s="4"/>
      <c r="Q1" s="4"/>
      <c r="R1" s="4"/>
      <c r="S1" s="4"/>
      <c r="T1" s="4"/>
      <c r="U1" s="4"/>
      <c r="V1" s="4"/>
      <c r="W1" s="4"/>
      <c r="X1" s="4"/>
      <c r="Y1" s="4"/>
      <c r="Z1" s="4"/>
      <c r="AA1" s="4"/>
      <c r="AB1" s="4"/>
    </row>
    <row r="2" spans="1:28" ht="21">
      <c r="A2" s="4"/>
      <c r="B2" s="607" t="s">
        <v>5</v>
      </c>
      <c r="C2" s="607"/>
      <c r="D2" s="607"/>
      <c r="E2" s="607"/>
      <c r="F2" s="607"/>
      <c r="G2" s="607"/>
      <c r="H2" s="607"/>
      <c r="I2" s="607"/>
      <c r="J2" s="607"/>
      <c r="K2" s="607"/>
      <c r="L2" s="607"/>
      <c r="M2" s="607"/>
      <c r="N2" s="607"/>
      <c r="O2" s="607"/>
      <c r="P2" s="607"/>
      <c r="Q2" s="607"/>
      <c r="R2" s="607"/>
      <c r="S2" s="607"/>
      <c r="T2" s="607"/>
      <c r="U2" s="607"/>
      <c r="V2" s="607"/>
      <c r="W2" s="607"/>
      <c r="X2" s="607"/>
      <c r="Y2" s="607"/>
      <c r="Z2" s="607"/>
      <c r="AA2" s="607"/>
      <c r="AB2" s="4"/>
    </row>
    <row r="3" spans="1:28" ht="15" thickBot="1">
      <c r="A3" s="4"/>
      <c r="B3" s="4"/>
      <c r="C3" s="4"/>
      <c r="D3" s="4"/>
      <c r="E3" s="4"/>
      <c r="F3" s="4"/>
      <c r="G3" s="4"/>
      <c r="H3" s="4"/>
      <c r="I3" s="4"/>
      <c r="J3" s="4"/>
      <c r="K3" s="4"/>
      <c r="L3" s="4"/>
      <c r="M3" s="4"/>
      <c r="N3" s="4"/>
      <c r="O3" s="4"/>
      <c r="P3" s="4"/>
      <c r="Q3" s="4"/>
      <c r="R3" s="4"/>
      <c r="S3" s="4"/>
      <c r="T3" s="4"/>
      <c r="U3" s="4"/>
      <c r="V3" s="4"/>
      <c r="W3" s="4"/>
      <c r="X3" s="4"/>
      <c r="Y3" s="4"/>
      <c r="Z3" s="4"/>
      <c r="AA3" s="4"/>
      <c r="AB3" s="4"/>
    </row>
    <row r="4" spans="1:28" ht="21.6" thickBot="1">
      <c r="A4" s="4"/>
      <c r="B4" s="608" t="s">
        <v>6</v>
      </c>
      <c r="C4" s="609"/>
      <c r="D4" s="609"/>
      <c r="E4" s="609"/>
      <c r="F4" s="609"/>
      <c r="G4" s="609"/>
      <c r="H4" s="610"/>
      <c r="I4" s="94"/>
      <c r="J4" s="17"/>
      <c r="K4" s="608" t="s">
        <v>7</v>
      </c>
      <c r="L4" s="609"/>
      <c r="M4" s="609"/>
      <c r="N4" s="609"/>
      <c r="O4" s="609"/>
      <c r="P4" s="609"/>
      <c r="Q4" s="609"/>
      <c r="R4" s="610"/>
      <c r="S4" s="17"/>
      <c r="T4" s="17"/>
      <c r="U4" s="608" t="s">
        <v>8</v>
      </c>
      <c r="V4" s="609"/>
      <c r="W4" s="609"/>
      <c r="X4" s="609"/>
      <c r="Y4" s="609"/>
      <c r="Z4" s="609"/>
      <c r="AA4" s="610"/>
      <c r="AB4" s="62"/>
    </row>
    <row r="5" spans="1:28" ht="14.45" customHeight="1">
      <c r="A5" s="4"/>
      <c r="B5" s="17"/>
      <c r="C5" s="94"/>
      <c r="D5" s="94"/>
      <c r="E5" s="94"/>
      <c r="F5" s="94"/>
      <c r="G5" s="94"/>
      <c r="H5" s="17"/>
      <c r="I5" s="17"/>
      <c r="J5" s="17"/>
      <c r="K5" s="17"/>
      <c r="L5" s="94"/>
      <c r="M5" s="94"/>
      <c r="N5" s="94"/>
      <c r="O5" s="94"/>
      <c r="P5" s="94"/>
      <c r="Q5" s="17"/>
      <c r="R5" s="17"/>
      <c r="S5" s="17"/>
      <c r="T5" s="17"/>
      <c r="U5" s="17"/>
      <c r="V5" s="17"/>
      <c r="W5" s="17"/>
      <c r="X5" s="17"/>
      <c r="Y5" s="17"/>
      <c r="Z5" s="17"/>
      <c r="AA5" s="17"/>
      <c r="AB5" s="62"/>
    </row>
    <row r="6" spans="1:28">
      <c r="A6" s="4"/>
      <c r="B6" s="35"/>
      <c r="C6" s="35"/>
      <c r="D6" s="35"/>
      <c r="E6" s="35"/>
      <c r="F6" s="35"/>
      <c r="G6" s="35"/>
      <c r="H6" s="35"/>
      <c r="I6" s="35"/>
      <c r="J6" s="35"/>
      <c r="K6" s="4"/>
      <c r="L6" s="611" t="s">
        <v>9</v>
      </c>
      <c r="M6" s="612"/>
      <c r="N6" s="612"/>
      <c r="O6" s="612"/>
      <c r="P6" s="612"/>
      <c r="Q6" s="612"/>
      <c r="R6" s="613"/>
      <c r="S6" s="493"/>
      <c r="T6" s="4"/>
      <c r="U6" s="63"/>
      <c r="V6" s="63"/>
      <c r="W6" s="63"/>
      <c r="X6" s="63"/>
      <c r="Y6" s="63"/>
      <c r="Z6" s="63"/>
      <c r="AA6" s="63"/>
      <c r="AB6" s="62"/>
    </row>
    <row r="7" spans="1:28">
      <c r="A7" s="4"/>
      <c r="B7" s="489" t="s">
        <v>10</v>
      </c>
      <c r="C7" s="490"/>
      <c r="D7" s="490"/>
      <c r="E7" s="490"/>
      <c r="F7" s="490"/>
      <c r="G7" s="490"/>
      <c r="H7" s="491"/>
      <c r="I7" s="4"/>
      <c r="J7" s="35"/>
      <c r="K7" s="604" t="s">
        <v>11</v>
      </c>
      <c r="L7" s="605"/>
      <c r="M7" s="605"/>
      <c r="N7" s="605"/>
      <c r="O7" s="605"/>
      <c r="P7" s="605"/>
      <c r="Q7" s="606"/>
      <c r="R7" s="133"/>
      <c r="S7" s="493"/>
      <c r="T7" s="4"/>
      <c r="U7" s="63"/>
      <c r="V7" s="63"/>
      <c r="W7" s="63"/>
      <c r="X7" s="63"/>
      <c r="Y7" s="63"/>
      <c r="Z7" s="63"/>
      <c r="AA7" s="4"/>
      <c r="AB7" s="4"/>
    </row>
    <row r="8" spans="1:28">
      <c r="A8" s="4"/>
      <c r="B8" s="133"/>
      <c r="C8" s="7"/>
      <c r="D8" s="7"/>
      <c r="E8" s="7"/>
      <c r="F8" s="7"/>
      <c r="G8" s="7"/>
      <c r="H8" s="134"/>
      <c r="I8" s="4"/>
      <c r="J8" s="35"/>
      <c r="K8" s="133"/>
      <c r="L8" s="7"/>
      <c r="M8" s="7"/>
      <c r="N8" s="7"/>
      <c r="O8" s="7"/>
      <c r="P8" s="7"/>
      <c r="Q8" s="134"/>
      <c r="R8" s="495"/>
      <c r="S8" s="4"/>
      <c r="T8" s="4"/>
      <c r="U8" s="63"/>
      <c r="V8" s="63"/>
      <c r="W8" s="63"/>
      <c r="X8" s="63"/>
      <c r="Y8" s="63"/>
      <c r="Z8" s="63"/>
      <c r="AA8" s="63"/>
      <c r="AB8" s="4"/>
    </row>
    <row r="9" spans="1:28">
      <c r="A9" s="4"/>
      <c r="B9" s="133"/>
      <c r="C9" s="7"/>
      <c r="D9" s="614" t="s">
        <v>12</v>
      </c>
      <c r="E9" s="614"/>
      <c r="F9" s="614"/>
      <c r="G9" s="64"/>
      <c r="H9" s="134"/>
      <c r="I9" s="4"/>
      <c r="J9" s="35"/>
      <c r="K9" s="133"/>
      <c r="L9" s="7"/>
      <c r="M9" s="614" t="s">
        <v>13</v>
      </c>
      <c r="N9" s="614"/>
      <c r="O9" s="614"/>
      <c r="P9" s="64"/>
      <c r="Q9" s="134"/>
      <c r="R9" s="495"/>
      <c r="S9" s="4"/>
      <c r="T9" s="4"/>
      <c r="U9" s="63"/>
      <c r="V9" s="63"/>
      <c r="W9" s="63"/>
      <c r="X9" s="63"/>
      <c r="Y9" s="63"/>
      <c r="Z9" s="63"/>
      <c r="AA9" s="63"/>
      <c r="AB9" s="4"/>
    </row>
    <row r="10" spans="1:28">
      <c r="A10" s="4"/>
      <c r="B10" s="133"/>
      <c r="C10" s="7"/>
      <c r="D10" s="7"/>
      <c r="E10" s="64"/>
      <c r="F10" s="7"/>
      <c r="G10" s="64"/>
      <c r="H10" s="134"/>
      <c r="I10" s="4"/>
      <c r="J10" s="35"/>
      <c r="K10" s="133"/>
      <c r="L10" s="7"/>
      <c r="M10" s="7"/>
      <c r="N10" s="7"/>
      <c r="O10" s="7"/>
      <c r="P10" s="7"/>
      <c r="Q10" s="134"/>
      <c r="R10" s="495"/>
      <c r="S10" s="4"/>
      <c r="T10" s="4"/>
      <c r="U10" s="63"/>
      <c r="V10" s="63"/>
      <c r="W10" s="63"/>
      <c r="X10" s="63"/>
      <c r="Y10" s="63"/>
      <c r="Z10" s="63"/>
      <c r="AA10" s="63"/>
      <c r="AB10" s="4"/>
    </row>
    <row r="11" spans="1:28" ht="14.1" customHeight="1">
      <c r="A11" s="4"/>
      <c r="B11" s="133"/>
      <c r="C11" s="7"/>
      <c r="G11" s="61"/>
      <c r="H11" s="134"/>
      <c r="I11" s="4"/>
      <c r="J11" s="35"/>
      <c r="K11" s="133"/>
      <c r="L11" s="7"/>
      <c r="M11" s="615" t="s">
        <v>14</v>
      </c>
      <c r="N11" s="558" t="s">
        <v>15</v>
      </c>
      <c r="O11" s="348" t="s">
        <v>16</v>
      </c>
      <c r="P11" s="66"/>
      <c r="Q11" s="134"/>
      <c r="R11" s="495"/>
      <c r="S11" s="4"/>
      <c r="T11" s="4"/>
      <c r="U11" s="63"/>
      <c r="V11" s="63"/>
      <c r="W11" s="63"/>
      <c r="X11" s="63"/>
      <c r="Y11" s="63"/>
      <c r="Z11" s="63"/>
      <c r="AA11" s="63"/>
      <c r="AB11" s="4"/>
    </row>
    <row r="12" spans="1:28" ht="14.1" customHeight="1">
      <c r="A12" s="4"/>
      <c r="B12" s="133"/>
      <c r="C12" s="7"/>
      <c r="G12" s="61"/>
      <c r="H12" s="134"/>
      <c r="I12" s="4"/>
      <c r="J12" s="35"/>
      <c r="K12" s="133"/>
      <c r="L12" s="7"/>
      <c r="M12" s="616"/>
      <c r="N12" s="558" t="s">
        <v>17</v>
      </c>
      <c r="O12" s="348" t="s">
        <v>16</v>
      </c>
      <c r="P12" s="66"/>
      <c r="Q12" s="134"/>
      <c r="R12" s="495"/>
      <c r="S12" s="4"/>
      <c r="T12" s="4"/>
      <c r="U12" s="63"/>
      <c r="V12" s="63"/>
      <c r="W12" s="63"/>
      <c r="X12" s="63"/>
      <c r="Y12" s="63"/>
      <c r="Z12" s="63"/>
      <c r="AA12" s="63"/>
      <c r="AB12" s="4"/>
    </row>
    <row r="13" spans="1:28" ht="16.5">
      <c r="A13" s="4"/>
      <c r="B13" s="133"/>
      <c r="C13" s="7"/>
      <c r="G13" s="64"/>
      <c r="H13" s="134"/>
      <c r="I13" s="4"/>
      <c r="J13" s="35"/>
      <c r="K13" s="133"/>
      <c r="L13" s="7"/>
      <c r="M13" s="616"/>
      <c r="N13" s="558" t="s">
        <v>18</v>
      </c>
      <c r="O13" s="348" t="s">
        <v>16</v>
      </c>
      <c r="P13" s="66"/>
      <c r="Q13" s="134"/>
      <c r="R13" s="495"/>
      <c r="S13" s="4"/>
      <c r="T13" s="4"/>
      <c r="U13" s="4"/>
      <c r="V13" s="4"/>
      <c r="W13" s="4"/>
      <c r="X13" s="4"/>
      <c r="Y13" s="4"/>
      <c r="Z13" s="4"/>
      <c r="AA13" s="4"/>
      <c r="AB13" s="4"/>
    </row>
    <row r="14" spans="1:28" ht="16.5">
      <c r="A14" s="4"/>
      <c r="B14" s="133"/>
      <c r="C14" s="7"/>
      <c r="G14" s="7"/>
      <c r="H14" s="134"/>
      <c r="I14" s="4"/>
      <c r="J14" s="35"/>
      <c r="K14" s="133"/>
      <c r="L14" s="7"/>
      <c r="M14" s="616"/>
      <c r="N14" s="558" t="s">
        <v>19</v>
      </c>
      <c r="O14" s="348" t="s">
        <v>16</v>
      </c>
      <c r="P14" s="66"/>
      <c r="Q14" s="134"/>
      <c r="R14" s="495"/>
      <c r="S14" s="4"/>
      <c r="T14" s="4"/>
      <c r="U14" s="4"/>
      <c r="V14" s="4"/>
      <c r="W14" s="4"/>
      <c r="X14" s="4"/>
      <c r="Y14" s="4"/>
      <c r="Z14" s="4"/>
      <c r="AA14" s="4"/>
      <c r="AB14" s="4"/>
    </row>
    <row r="15" spans="1:28">
      <c r="A15" s="4"/>
      <c r="B15" s="133"/>
      <c r="C15" s="7"/>
      <c r="G15" s="7"/>
      <c r="H15" s="134"/>
      <c r="I15" s="4"/>
      <c r="J15" s="4"/>
      <c r="K15" s="133"/>
      <c r="L15" s="7"/>
      <c r="M15" s="616"/>
      <c r="N15" s="7" t="s">
        <v>20</v>
      </c>
      <c r="O15" s="590" t="s">
        <v>16</v>
      </c>
      <c r="P15" s="66"/>
      <c r="Q15" s="134"/>
      <c r="R15" s="495"/>
      <c r="S15" s="4"/>
      <c r="T15" s="4"/>
      <c r="U15" s="4"/>
      <c r="V15" s="4"/>
      <c r="W15" s="4"/>
      <c r="X15" s="4"/>
      <c r="Y15" s="4"/>
      <c r="Z15" s="4"/>
      <c r="AA15" s="4"/>
      <c r="AB15" s="4"/>
    </row>
    <row r="16" spans="1:28" ht="16.5">
      <c r="A16" s="4"/>
      <c r="B16" s="133"/>
      <c r="C16" s="7"/>
      <c r="G16" s="7"/>
      <c r="H16" s="134"/>
      <c r="I16" s="4"/>
      <c r="J16" s="4"/>
      <c r="K16" s="133"/>
      <c r="L16" s="7"/>
      <c r="M16" s="616"/>
      <c r="N16" s="559" t="s">
        <v>21</v>
      </c>
      <c r="O16" s="591"/>
      <c r="P16" s="66"/>
      <c r="Q16" s="134"/>
      <c r="R16" s="495"/>
      <c r="S16" s="4"/>
      <c r="T16" s="4"/>
      <c r="U16" s="489"/>
      <c r="V16" s="490"/>
      <c r="W16" s="490"/>
      <c r="X16" s="490"/>
      <c r="Y16" s="490"/>
      <c r="Z16" s="490"/>
      <c r="AA16" s="491"/>
      <c r="AB16" s="4"/>
    </row>
    <row r="17" spans="1:28" ht="16.5">
      <c r="A17" s="4"/>
      <c r="B17" s="133"/>
      <c r="C17" s="7"/>
      <c r="D17" s="565" t="s">
        <v>22</v>
      </c>
      <c r="E17" s="565"/>
      <c r="F17" s="4"/>
      <c r="G17" s="7"/>
      <c r="H17" s="134"/>
      <c r="I17" s="4"/>
      <c r="J17" s="62"/>
      <c r="K17" s="133"/>
      <c r="L17" s="7"/>
      <c r="M17" s="617"/>
      <c r="N17" s="558" t="s">
        <v>23</v>
      </c>
      <c r="O17" s="348" t="s">
        <v>16</v>
      </c>
      <c r="P17" s="66"/>
      <c r="Q17" s="134"/>
      <c r="R17" s="495"/>
      <c r="S17" s="4"/>
      <c r="T17" s="4"/>
      <c r="U17" s="133"/>
      <c r="V17" s="7"/>
      <c r="W17" s="7"/>
      <c r="X17" s="7"/>
      <c r="Y17" s="7"/>
      <c r="Z17" s="7"/>
      <c r="AA17" s="134"/>
      <c r="AB17" s="4"/>
    </row>
    <row r="18" spans="1:28">
      <c r="A18" s="4"/>
      <c r="B18" s="133"/>
      <c r="C18" s="7"/>
      <c r="D18" s="566"/>
      <c r="E18" s="566"/>
      <c r="F18" s="7"/>
      <c r="G18" s="7"/>
      <c r="H18" s="134"/>
      <c r="I18" s="4"/>
      <c r="J18" s="4"/>
      <c r="K18" s="133"/>
      <c r="L18" s="7"/>
      <c r="M18" s="7"/>
      <c r="N18" s="66"/>
      <c r="O18" s="66"/>
      <c r="P18" s="66"/>
      <c r="Q18" s="134"/>
      <c r="R18" s="495"/>
      <c r="S18" s="4"/>
      <c r="T18" s="4"/>
      <c r="U18" s="133"/>
      <c r="V18" s="7"/>
      <c r="W18" s="603" t="s">
        <v>24</v>
      </c>
      <c r="X18" s="603"/>
      <c r="Y18" s="603"/>
      <c r="Z18" s="7"/>
      <c r="AA18" s="134"/>
      <c r="AB18" s="4"/>
    </row>
    <row r="19" spans="1:28">
      <c r="A19" s="4"/>
      <c r="B19" s="133"/>
      <c r="C19" s="7"/>
      <c r="D19" s="567" t="s">
        <v>25</v>
      </c>
      <c r="E19" s="7"/>
      <c r="F19" s="7"/>
      <c r="G19" s="7"/>
      <c r="H19" s="134"/>
      <c r="I19" s="4"/>
      <c r="J19" s="4"/>
      <c r="K19" s="133"/>
      <c r="L19" s="7"/>
      <c r="M19" s="7"/>
      <c r="N19" s="7"/>
      <c r="O19" s="7"/>
      <c r="P19" s="7"/>
      <c r="Q19" s="134"/>
      <c r="R19" s="495"/>
      <c r="S19" s="4"/>
      <c r="T19" s="4"/>
      <c r="U19" s="133"/>
      <c r="V19" s="7"/>
      <c r="W19" s="61"/>
      <c r="X19" s="61"/>
      <c r="Y19" s="61"/>
      <c r="Z19" s="7"/>
      <c r="AA19" s="134"/>
      <c r="AB19" s="4"/>
    </row>
    <row r="20" spans="1:28">
      <c r="A20" s="4"/>
      <c r="B20" s="133"/>
      <c r="C20" s="7"/>
      <c r="D20" s="567" t="s">
        <v>26</v>
      </c>
      <c r="E20" s="64"/>
      <c r="F20" s="7"/>
      <c r="G20" s="7"/>
      <c r="H20" s="134"/>
      <c r="I20" s="4"/>
      <c r="J20" s="4"/>
      <c r="K20" s="133"/>
      <c r="L20" s="162"/>
      <c r="M20" s="162"/>
      <c r="N20" s="162"/>
      <c r="O20" s="162"/>
      <c r="P20" s="162"/>
      <c r="Q20" s="134"/>
      <c r="R20" s="495"/>
      <c r="S20" s="4"/>
      <c r="T20" s="4"/>
      <c r="U20" s="133"/>
      <c r="V20" s="7"/>
      <c r="W20" s="61"/>
      <c r="X20" s="61"/>
      <c r="Y20" s="61"/>
      <c r="Z20" s="7"/>
      <c r="AA20" s="134"/>
      <c r="AB20" s="4"/>
    </row>
    <row r="21" spans="1:28">
      <c r="A21" s="4"/>
      <c r="B21" s="133"/>
      <c r="C21" s="7"/>
      <c r="D21" s="567" t="s">
        <v>27</v>
      </c>
      <c r="E21" s="7"/>
      <c r="F21" s="7"/>
      <c r="G21" s="7"/>
      <c r="H21" s="134"/>
      <c r="I21" s="4"/>
      <c r="J21" s="4"/>
      <c r="K21" s="133"/>
      <c r="L21" s="7"/>
      <c r="M21" s="7"/>
      <c r="N21" s="7"/>
      <c r="O21" s="7"/>
      <c r="P21" s="7"/>
      <c r="Q21" s="134"/>
      <c r="R21" s="495"/>
      <c r="S21" s="4"/>
      <c r="T21" s="4"/>
      <c r="U21" s="133"/>
      <c r="V21" s="7"/>
      <c r="W21" s="61"/>
      <c r="X21" s="61"/>
      <c r="Y21" s="61"/>
      <c r="Z21" s="7"/>
      <c r="AA21" s="134"/>
      <c r="AB21" s="4"/>
    </row>
    <row r="22" spans="1:28">
      <c r="A22" s="4"/>
      <c r="B22" s="133"/>
      <c r="C22" s="7"/>
      <c r="D22" s="567" t="s">
        <v>28</v>
      </c>
      <c r="E22" s="7"/>
      <c r="F22" s="7"/>
      <c r="G22" s="7"/>
      <c r="H22" s="134"/>
      <c r="I22" s="4"/>
      <c r="J22" s="4"/>
      <c r="K22" s="133"/>
      <c r="L22" s="64"/>
      <c r="M22" s="492" t="s">
        <v>29</v>
      </c>
      <c r="N22" s="492"/>
      <c r="O22" s="492"/>
      <c r="P22" s="64"/>
      <c r="Q22" s="134"/>
      <c r="R22" s="495"/>
      <c r="S22" s="4"/>
      <c r="T22" s="4"/>
      <c r="U22" s="133"/>
      <c r="V22" s="7"/>
      <c r="W22" s="7"/>
      <c r="X22" s="7"/>
      <c r="Y22" s="7"/>
      <c r="Z22" s="7"/>
      <c r="AA22" s="134"/>
      <c r="AB22" s="4"/>
    </row>
    <row r="23" spans="1:28">
      <c r="A23" s="4"/>
      <c r="B23" s="133"/>
      <c r="C23" s="7"/>
      <c r="D23" s="567" t="s">
        <v>30</v>
      </c>
      <c r="E23" s="7"/>
      <c r="F23" s="7"/>
      <c r="G23" s="7"/>
      <c r="H23" s="134"/>
      <c r="I23" s="4"/>
      <c r="J23" s="4"/>
      <c r="K23" s="135"/>
      <c r="L23" s="7"/>
      <c r="M23" s="7"/>
      <c r="N23" s="7"/>
      <c r="O23" s="7"/>
      <c r="P23" s="7"/>
      <c r="Q23" s="134"/>
      <c r="R23" s="495"/>
      <c r="S23" s="4"/>
      <c r="T23" s="4"/>
      <c r="U23" s="133"/>
      <c r="V23" s="7"/>
      <c r="W23" s="7"/>
      <c r="X23" s="7"/>
      <c r="Y23" s="7"/>
      <c r="Z23" s="349"/>
      <c r="AA23" s="134"/>
      <c r="AB23" s="4"/>
    </row>
    <row r="24" spans="1:28" ht="14.45" customHeight="1">
      <c r="A24" s="4"/>
      <c r="B24" s="133"/>
      <c r="C24" s="7"/>
      <c r="D24" s="567" t="s">
        <v>31</v>
      </c>
      <c r="E24" s="7"/>
      <c r="F24" s="7"/>
      <c r="G24" s="7"/>
      <c r="H24" s="134"/>
      <c r="I24" s="4"/>
      <c r="J24" s="4"/>
      <c r="K24" s="135"/>
      <c r="L24" s="7"/>
      <c r="M24" s="594" t="s">
        <v>32</v>
      </c>
      <c r="N24" s="164" t="s">
        <v>33</v>
      </c>
      <c r="O24" s="366" t="s">
        <v>16</v>
      </c>
      <c r="P24" s="7"/>
      <c r="Q24" s="134"/>
      <c r="R24" s="495"/>
      <c r="S24" s="4"/>
      <c r="T24" s="4"/>
      <c r="U24" s="133"/>
      <c r="V24" s="7"/>
      <c r="W24" s="7"/>
      <c r="X24" s="7"/>
      <c r="Y24" s="7"/>
      <c r="Z24" s="349"/>
      <c r="AA24" s="134"/>
      <c r="AB24" s="4"/>
    </row>
    <row r="25" spans="1:28" ht="16.5">
      <c r="A25" s="4"/>
      <c r="B25" s="133"/>
      <c r="C25" s="7"/>
      <c r="D25" s="1" t="s">
        <v>34</v>
      </c>
      <c r="E25" s="7"/>
      <c r="F25" s="7"/>
      <c r="G25" s="7"/>
      <c r="H25" s="134"/>
      <c r="I25" s="4"/>
      <c r="J25" s="4"/>
      <c r="K25" s="133"/>
      <c r="L25" s="7"/>
      <c r="M25" s="595"/>
      <c r="N25" s="82" t="s">
        <v>35</v>
      </c>
      <c r="O25" s="592" t="s">
        <v>16</v>
      </c>
      <c r="P25" s="7"/>
      <c r="Q25" s="134"/>
      <c r="R25" s="495"/>
      <c r="S25" s="4"/>
      <c r="T25" s="4"/>
      <c r="U25" s="133"/>
      <c r="V25" s="7"/>
      <c r="W25" s="600" t="s">
        <v>36</v>
      </c>
      <c r="X25" s="351" t="s">
        <v>37</v>
      </c>
      <c r="Y25" s="359" t="s">
        <v>38</v>
      </c>
      <c r="Z25" s="350"/>
      <c r="AA25" s="134"/>
      <c r="AB25" s="4"/>
    </row>
    <row r="26" spans="1:28" ht="16.5">
      <c r="A26" s="4"/>
      <c r="B26" s="133"/>
      <c r="C26" s="7"/>
      <c r="D26" s="567" t="s">
        <v>39</v>
      </c>
      <c r="E26" s="7"/>
      <c r="F26" s="7"/>
      <c r="G26" s="7"/>
      <c r="H26" s="134"/>
      <c r="I26" s="4"/>
      <c r="J26" s="4"/>
      <c r="K26" s="133"/>
      <c r="L26" s="7"/>
      <c r="M26" s="595"/>
      <c r="N26" s="166" t="s">
        <v>21</v>
      </c>
      <c r="O26" s="593"/>
      <c r="P26" s="7"/>
      <c r="Q26" s="134"/>
      <c r="R26" s="495"/>
      <c r="S26" s="4"/>
      <c r="T26" s="4"/>
      <c r="U26" s="133"/>
      <c r="V26" s="7"/>
      <c r="W26" s="601"/>
      <c r="X26" s="351" t="s">
        <v>40</v>
      </c>
      <c r="Y26" s="359" t="s">
        <v>16</v>
      </c>
      <c r="Z26" s="350"/>
      <c r="AA26" s="134"/>
      <c r="AB26" s="4"/>
    </row>
    <row r="27" spans="1:28" ht="16.5">
      <c r="A27" s="4"/>
      <c r="B27" s="133"/>
      <c r="C27" s="7"/>
      <c r="D27" t="s">
        <v>41</v>
      </c>
      <c r="E27" s="7"/>
      <c r="F27" s="7"/>
      <c r="G27" s="7"/>
      <c r="H27" s="134"/>
      <c r="I27" s="4"/>
      <c r="J27" s="4"/>
      <c r="K27" s="133"/>
      <c r="L27" s="7"/>
      <c r="M27" s="595"/>
      <c r="N27" s="563" t="s">
        <v>42</v>
      </c>
      <c r="O27" s="498" t="s">
        <v>16</v>
      </c>
      <c r="P27" s="7"/>
      <c r="Q27" s="134"/>
      <c r="R27" s="495"/>
      <c r="S27" s="4"/>
      <c r="T27" s="4"/>
      <c r="U27" s="133"/>
      <c r="V27" s="7"/>
      <c r="W27" s="601"/>
      <c r="X27" s="351" t="s">
        <v>43</v>
      </c>
      <c r="Y27" s="359" t="s">
        <v>16</v>
      </c>
      <c r="Z27" s="350"/>
      <c r="AA27" s="134"/>
      <c r="AB27" s="4"/>
    </row>
    <row r="28" spans="1:28" ht="14.45" customHeight="1">
      <c r="A28" s="4"/>
      <c r="B28" s="133"/>
      <c r="C28" s="7"/>
      <c r="D28" s="567" t="s">
        <v>44</v>
      </c>
      <c r="E28" s="7"/>
      <c r="F28" s="7"/>
      <c r="G28" s="7"/>
      <c r="H28" s="134"/>
      <c r="I28" s="4"/>
      <c r="J28" s="4"/>
      <c r="K28" s="133"/>
      <c r="L28" s="7"/>
      <c r="M28" s="595"/>
      <c r="N28" s="564" t="s">
        <v>45</v>
      </c>
      <c r="O28" s="366" t="s">
        <v>16</v>
      </c>
      <c r="P28" s="7"/>
      <c r="Q28" s="134"/>
      <c r="R28" s="495"/>
      <c r="S28" s="4"/>
      <c r="T28" s="68"/>
      <c r="U28" s="133"/>
      <c r="V28" s="7"/>
      <c r="W28" s="601"/>
      <c r="X28" s="351" t="s">
        <v>46</v>
      </c>
      <c r="Y28" s="360" t="s">
        <v>16</v>
      </c>
      <c r="Z28" s="350"/>
      <c r="AA28" s="134"/>
      <c r="AB28" s="4"/>
    </row>
    <row r="29" spans="1:28" ht="16.5">
      <c r="A29" s="4"/>
      <c r="B29" s="133"/>
      <c r="C29" s="7"/>
      <c r="D29" s="567" t="s">
        <v>47</v>
      </c>
      <c r="E29" s="7"/>
      <c r="F29" s="7"/>
      <c r="G29" s="7"/>
      <c r="H29" s="134"/>
      <c r="I29" s="4"/>
      <c r="J29" s="4"/>
      <c r="K29" s="133"/>
      <c r="L29" s="7"/>
      <c r="M29" s="595"/>
      <c r="N29" s="91" t="s">
        <v>48</v>
      </c>
      <c r="O29" s="366" t="s">
        <v>16</v>
      </c>
      <c r="P29" s="7"/>
      <c r="Q29" s="134"/>
      <c r="R29" s="495"/>
      <c r="S29" s="4"/>
      <c r="T29" s="68"/>
      <c r="U29" s="133"/>
      <c r="V29" s="7"/>
      <c r="W29" s="601"/>
      <c r="X29" s="351" t="s">
        <v>49</v>
      </c>
      <c r="Y29" s="360" t="s">
        <v>16</v>
      </c>
      <c r="Z29" s="350"/>
      <c r="AA29" s="134"/>
      <c r="AB29" s="4"/>
    </row>
    <row r="30" spans="1:28" ht="14.45" customHeight="1">
      <c r="A30" s="4"/>
      <c r="B30" s="133"/>
      <c r="C30" s="7"/>
      <c r="D30" t="s">
        <v>50</v>
      </c>
      <c r="E30" s="7"/>
      <c r="F30" s="7"/>
      <c r="G30" s="7"/>
      <c r="H30" s="134"/>
      <c r="I30" s="4"/>
      <c r="J30" s="4"/>
      <c r="K30" s="133"/>
      <c r="L30" s="7"/>
      <c r="M30" s="595"/>
      <c r="N30" s="91" t="s">
        <v>51</v>
      </c>
      <c r="O30" s="366" t="s">
        <v>16</v>
      </c>
      <c r="P30" s="7"/>
      <c r="Q30" s="134"/>
      <c r="R30" s="495"/>
      <c r="S30" s="4"/>
      <c r="T30" s="4"/>
      <c r="U30" s="133"/>
      <c r="V30" s="7"/>
      <c r="W30" s="601"/>
      <c r="X30" s="351" t="s">
        <v>52</v>
      </c>
      <c r="Y30" s="360" t="s">
        <v>16</v>
      </c>
      <c r="Z30" s="350"/>
      <c r="AA30" s="134"/>
      <c r="AB30" s="4"/>
    </row>
    <row r="31" spans="1:28">
      <c r="A31" s="4"/>
      <c r="B31" s="133"/>
      <c r="C31" s="7"/>
      <c r="D31" s="568" t="s">
        <v>53</v>
      </c>
      <c r="E31" s="7"/>
      <c r="F31" s="7"/>
      <c r="G31" s="7"/>
      <c r="H31" s="134"/>
      <c r="I31" s="4"/>
      <c r="J31" s="4"/>
      <c r="K31" s="133"/>
      <c r="L31" s="7"/>
      <c r="M31" s="596"/>
      <c r="N31" s="91" t="s">
        <v>54</v>
      </c>
      <c r="O31" s="366" t="s">
        <v>16</v>
      </c>
      <c r="P31" s="7"/>
      <c r="Q31" s="134"/>
      <c r="R31" s="495"/>
      <c r="S31" s="4"/>
      <c r="T31" s="4"/>
      <c r="U31" s="133"/>
      <c r="V31" s="7"/>
      <c r="W31" s="602"/>
      <c r="X31" s="351" t="s">
        <v>55</v>
      </c>
      <c r="Y31" s="360" t="s">
        <v>16</v>
      </c>
      <c r="Z31" s="350"/>
      <c r="AA31" s="134"/>
      <c r="AB31" s="4"/>
    </row>
    <row r="32" spans="1:28">
      <c r="A32" s="4"/>
      <c r="B32" s="133"/>
      <c r="C32" s="7"/>
      <c r="D32" s="568" t="s">
        <v>56</v>
      </c>
      <c r="E32" s="7"/>
      <c r="F32" s="7"/>
      <c r="G32" s="7"/>
      <c r="H32" s="134"/>
      <c r="I32" s="4"/>
      <c r="J32" s="4"/>
      <c r="K32" s="133"/>
      <c r="L32" s="7"/>
      <c r="M32" s="576"/>
      <c r="N32" s="7"/>
      <c r="O32" s="575"/>
      <c r="P32" s="7"/>
      <c r="Q32" s="134"/>
      <c r="R32" s="495"/>
      <c r="S32" s="4"/>
      <c r="T32" s="4"/>
      <c r="U32" s="133"/>
      <c r="V32" s="7"/>
      <c r="W32" s="352"/>
      <c r="X32" s="7"/>
      <c r="Y32" s="7"/>
      <c r="Z32" s="350"/>
      <c r="AA32" s="134"/>
      <c r="AB32" s="4"/>
    </row>
    <row r="33" spans="1:28">
      <c r="A33" s="4"/>
      <c r="B33" s="133"/>
      <c r="C33" s="7"/>
      <c r="D33" s="568" t="s">
        <v>57</v>
      </c>
      <c r="E33" s="7"/>
      <c r="F33" s="7"/>
      <c r="G33" s="7"/>
      <c r="H33" s="134"/>
      <c r="I33" s="4"/>
      <c r="J33" s="4"/>
      <c r="K33" s="133"/>
      <c r="L33" s="7"/>
      <c r="M33" s="7"/>
      <c r="N33" s="65"/>
      <c r="O33" s="7"/>
      <c r="P33" s="7"/>
      <c r="Q33" s="134"/>
      <c r="R33" s="495"/>
      <c r="S33" s="4"/>
      <c r="T33" s="4"/>
      <c r="U33" s="133"/>
      <c r="V33" s="7"/>
      <c r="W33" s="352"/>
      <c r="X33" s="7"/>
      <c r="Y33" s="7"/>
      <c r="Z33" s="350"/>
      <c r="AA33" s="134"/>
      <c r="AB33" s="4"/>
    </row>
    <row r="34" spans="1:28" ht="16.5">
      <c r="A34" s="4"/>
      <c r="B34" s="133"/>
      <c r="C34" s="7"/>
      <c r="D34" s="568" t="s">
        <v>58</v>
      </c>
      <c r="E34" s="7"/>
      <c r="F34" s="7"/>
      <c r="G34" s="7"/>
      <c r="H34" s="134"/>
      <c r="I34" s="4"/>
      <c r="J34" s="4"/>
      <c r="K34" s="133"/>
      <c r="L34" s="7"/>
      <c r="M34" s="7"/>
      <c r="N34" s="65"/>
      <c r="O34" s="7"/>
      <c r="P34" s="7"/>
      <c r="Q34" s="134"/>
      <c r="R34" s="495"/>
      <c r="S34" s="4"/>
      <c r="T34" s="4"/>
      <c r="U34" s="133"/>
      <c r="V34" s="7"/>
      <c r="W34" s="352"/>
      <c r="X34" s="7"/>
      <c r="Y34" s="7"/>
      <c r="Z34" s="350"/>
      <c r="AA34" s="134"/>
      <c r="AB34" s="4"/>
    </row>
    <row r="35" spans="1:28" ht="16.5">
      <c r="A35" s="4"/>
      <c r="B35" s="133"/>
      <c r="C35" s="7"/>
      <c r="D35" s="179" t="s">
        <v>59</v>
      </c>
      <c r="E35" s="7"/>
      <c r="F35" s="7"/>
      <c r="G35" s="7"/>
      <c r="H35" s="134"/>
      <c r="I35" s="4"/>
      <c r="J35" s="4"/>
      <c r="K35" s="133"/>
      <c r="L35" s="162"/>
      <c r="M35" s="162"/>
      <c r="N35" s="162"/>
      <c r="O35" s="162"/>
      <c r="P35" s="162"/>
      <c r="Q35" s="134"/>
      <c r="R35" s="495"/>
      <c r="S35" s="4"/>
      <c r="T35" s="4"/>
      <c r="U35" s="133"/>
      <c r="V35" s="7"/>
      <c r="W35" s="352"/>
      <c r="X35" s="7"/>
      <c r="Y35" s="7"/>
      <c r="Z35" s="350"/>
      <c r="AA35" s="134"/>
      <c r="AB35" s="4"/>
    </row>
    <row r="36" spans="1:28" ht="16.5">
      <c r="A36" s="4"/>
      <c r="B36" s="133"/>
      <c r="C36" s="7"/>
      <c r="D36" s="573" t="s">
        <v>60</v>
      </c>
      <c r="E36" s="7"/>
      <c r="F36" s="7"/>
      <c r="G36" s="7"/>
      <c r="H36" s="134"/>
      <c r="I36" s="4"/>
      <c r="J36" s="4"/>
      <c r="K36" s="133"/>
      <c r="L36" s="7"/>
      <c r="M36" s="7"/>
      <c r="N36" s="7"/>
      <c r="O36" s="7"/>
      <c r="P36" s="7"/>
      <c r="Q36" s="134"/>
      <c r="R36" s="495"/>
      <c r="S36" s="4"/>
      <c r="T36" s="4"/>
      <c r="U36" s="133"/>
      <c r="V36" s="7"/>
      <c r="W36" s="352"/>
      <c r="X36" s="7"/>
      <c r="Y36" s="7"/>
      <c r="Z36" s="350"/>
      <c r="AA36" s="134"/>
      <c r="AB36" s="4"/>
    </row>
    <row r="37" spans="1:28" ht="16.5">
      <c r="A37" s="4"/>
      <c r="B37" s="133"/>
      <c r="C37" s="7"/>
      <c r="D37" s="573" t="s">
        <v>61</v>
      </c>
      <c r="E37" s="7"/>
      <c r="F37" s="7"/>
      <c r="G37" s="7"/>
      <c r="H37" s="134"/>
      <c r="I37" s="4"/>
      <c r="J37" s="4"/>
      <c r="K37" s="133"/>
      <c r="L37" s="7"/>
      <c r="M37" s="492" t="s">
        <v>62</v>
      </c>
      <c r="N37" s="492"/>
      <c r="O37" s="492"/>
      <c r="P37" s="7"/>
      <c r="Q37" s="134"/>
      <c r="R37" s="495"/>
      <c r="S37" s="4"/>
      <c r="T37" s="4"/>
      <c r="U37" s="137"/>
      <c r="V37" s="138"/>
      <c r="W37" s="138"/>
      <c r="X37" s="138"/>
      <c r="Y37" s="138"/>
      <c r="Z37" s="138"/>
      <c r="AA37" s="139"/>
      <c r="AB37" s="4"/>
    </row>
    <row r="38" spans="1:28">
      <c r="A38" s="4"/>
      <c r="B38" s="133"/>
      <c r="C38" s="7"/>
      <c r="D38" s="571"/>
      <c r="E38" s="7"/>
      <c r="F38" s="7"/>
      <c r="G38" s="67"/>
      <c r="H38" s="134"/>
      <c r="I38" s="4"/>
      <c r="J38" s="4"/>
      <c r="K38" s="133"/>
      <c r="L38" s="7"/>
      <c r="M38" s="214"/>
      <c r="N38" s="214"/>
      <c r="O38" s="214"/>
      <c r="P38" s="7"/>
      <c r="Q38" s="134"/>
      <c r="R38" s="495"/>
      <c r="S38" s="4"/>
      <c r="T38" s="4"/>
      <c r="U38" s="4"/>
      <c r="V38" s="4"/>
      <c r="W38" s="4"/>
      <c r="X38" s="4"/>
      <c r="Y38" s="4"/>
      <c r="Z38" s="4"/>
      <c r="AA38" s="4"/>
      <c r="AB38" s="4"/>
    </row>
    <row r="39" spans="1:28" ht="14.45" customHeight="1">
      <c r="A39" s="4"/>
      <c r="B39" s="133"/>
      <c r="C39" s="7"/>
      <c r="D39" s="565" t="s">
        <v>63</v>
      </c>
      <c r="E39" s="565"/>
      <c r="F39" s="4"/>
      <c r="G39" s="67"/>
      <c r="H39" s="134"/>
      <c r="I39" s="4"/>
      <c r="J39" s="4"/>
      <c r="K39" s="133"/>
      <c r="L39" s="64"/>
      <c r="M39" s="7"/>
      <c r="N39" s="7"/>
      <c r="O39" s="7"/>
      <c r="P39" s="64"/>
      <c r="Q39" s="136"/>
      <c r="R39" s="496"/>
      <c r="S39" s="4"/>
      <c r="T39" s="4"/>
      <c r="U39" s="4"/>
      <c r="V39" s="4"/>
      <c r="W39" s="4"/>
      <c r="X39" s="4"/>
      <c r="Y39" s="4"/>
      <c r="Z39" s="4"/>
      <c r="AA39" s="4"/>
      <c r="AB39" s="4"/>
    </row>
    <row r="40" spans="1:28" ht="15.6" customHeight="1">
      <c r="A40" s="4"/>
      <c r="B40" s="133"/>
      <c r="C40" s="7"/>
      <c r="D40" s="7"/>
      <c r="E40" s="7"/>
      <c r="F40" s="7"/>
      <c r="G40" s="7"/>
      <c r="H40" s="134"/>
      <c r="I40" s="4"/>
      <c r="J40" s="4"/>
      <c r="K40" s="133"/>
      <c r="L40" s="7"/>
      <c r="M40" s="597" t="s">
        <v>64</v>
      </c>
      <c r="N40" s="163" t="s">
        <v>65</v>
      </c>
      <c r="O40" s="368" t="s">
        <v>16</v>
      </c>
      <c r="P40" s="7"/>
      <c r="Q40" s="136"/>
      <c r="R40" s="496"/>
      <c r="S40" s="4"/>
      <c r="T40" s="4"/>
      <c r="U40" s="4"/>
      <c r="V40" s="4"/>
      <c r="W40" s="4"/>
      <c r="X40" s="4"/>
      <c r="Y40" s="4"/>
      <c r="Z40" s="4"/>
      <c r="AA40" s="4"/>
      <c r="AB40" s="4"/>
    </row>
    <row r="41" spans="1:28" ht="16.5">
      <c r="A41" s="4"/>
      <c r="B41" s="133"/>
      <c r="C41" s="7"/>
      <c r="D41" s="587" t="s">
        <v>66</v>
      </c>
      <c r="E41" s="89" t="s">
        <v>67</v>
      </c>
      <c r="F41" s="361" t="s">
        <v>68</v>
      </c>
      <c r="G41" s="7"/>
      <c r="H41" s="134"/>
      <c r="I41" s="4"/>
      <c r="J41" s="4"/>
      <c r="K41" s="133"/>
      <c r="L41" s="7"/>
      <c r="M41" s="598"/>
      <c r="N41" s="163" t="s">
        <v>69</v>
      </c>
      <c r="O41" s="368" t="s">
        <v>16</v>
      </c>
      <c r="P41" s="7"/>
      <c r="Q41" s="136"/>
      <c r="R41" s="496"/>
      <c r="S41" s="68"/>
      <c r="T41" s="4"/>
      <c r="U41" s="4"/>
      <c r="V41" s="4"/>
      <c r="W41" s="4"/>
      <c r="X41" s="4"/>
      <c r="Y41" s="4"/>
      <c r="Z41" s="4"/>
      <c r="AA41" s="4"/>
      <c r="AB41" s="4"/>
    </row>
    <row r="42" spans="1:28" ht="16.5">
      <c r="A42" s="4"/>
      <c r="B42" s="133"/>
      <c r="C42" s="7"/>
      <c r="D42" s="588"/>
      <c r="E42" s="89" t="s">
        <v>70</v>
      </c>
      <c r="F42" s="361" t="s">
        <v>68</v>
      </c>
      <c r="G42" s="67"/>
      <c r="H42" s="134"/>
      <c r="I42" s="4"/>
      <c r="J42" s="4"/>
      <c r="K42" s="133"/>
      <c r="L42" s="7"/>
      <c r="M42" s="598"/>
      <c r="N42" s="163" t="s">
        <v>71</v>
      </c>
      <c r="O42" s="368" t="s">
        <v>16</v>
      </c>
      <c r="P42" s="7"/>
      <c r="Q42" s="136"/>
      <c r="R42" s="496"/>
      <c r="S42" s="68"/>
      <c r="T42" s="4"/>
      <c r="U42" s="4"/>
      <c r="V42" s="4"/>
      <c r="W42" s="4"/>
      <c r="X42" s="4"/>
      <c r="Y42" s="4"/>
      <c r="Z42" s="4"/>
      <c r="AA42" s="4"/>
      <c r="AB42" s="4"/>
    </row>
    <row r="43" spans="1:28">
      <c r="A43" s="4"/>
      <c r="B43" s="133"/>
      <c r="C43" s="7"/>
      <c r="D43" s="588"/>
      <c r="E43" s="89" t="s">
        <v>72</v>
      </c>
      <c r="F43" s="361" t="s">
        <v>16</v>
      </c>
      <c r="G43" s="67"/>
      <c r="H43" s="134"/>
      <c r="I43" s="4"/>
      <c r="J43" s="4"/>
      <c r="K43" s="133"/>
      <c r="L43" s="7"/>
      <c r="M43" s="598"/>
      <c r="N43" s="163" t="s">
        <v>73</v>
      </c>
      <c r="O43" s="368" t="s">
        <v>16</v>
      </c>
      <c r="P43" s="7"/>
      <c r="Q43" s="136"/>
      <c r="R43" s="496"/>
      <c r="S43" s="68"/>
      <c r="T43" s="4"/>
      <c r="U43" s="4"/>
      <c r="V43" s="4"/>
      <c r="W43" s="4"/>
      <c r="X43" s="4"/>
      <c r="Y43" s="4"/>
      <c r="Z43" s="4"/>
      <c r="AA43" s="4"/>
      <c r="AB43" s="4"/>
    </row>
    <row r="44" spans="1:28" ht="14.45" customHeight="1">
      <c r="A44" s="4"/>
      <c r="B44" s="133"/>
      <c r="C44" s="7"/>
      <c r="D44" s="588"/>
      <c r="E44" s="81" t="s">
        <v>74</v>
      </c>
      <c r="F44" s="361" t="s">
        <v>68</v>
      </c>
      <c r="G44" s="65"/>
      <c r="H44" s="134"/>
      <c r="I44" s="4"/>
      <c r="J44" s="4"/>
      <c r="K44" s="133"/>
      <c r="L44" s="7"/>
      <c r="M44" s="599"/>
      <c r="N44" s="163" t="s">
        <v>75</v>
      </c>
      <c r="O44" s="368" t="s">
        <v>16</v>
      </c>
      <c r="P44" s="7"/>
      <c r="Q44" s="134"/>
      <c r="R44" s="495"/>
      <c r="S44" s="68"/>
      <c r="T44" s="4"/>
      <c r="U44" s="4"/>
      <c r="V44" s="4"/>
      <c r="W44" s="4"/>
      <c r="X44" s="95"/>
      <c r="Y44" s="95"/>
      <c r="Z44" s="95"/>
      <c r="AA44" s="4"/>
      <c r="AB44" s="4"/>
    </row>
    <row r="45" spans="1:28" ht="14.45" customHeight="1">
      <c r="A45" s="4"/>
      <c r="B45" s="133"/>
      <c r="C45" s="7"/>
      <c r="D45" s="588"/>
      <c r="E45" s="89" t="s">
        <v>76</v>
      </c>
      <c r="F45" s="361" t="s">
        <v>68</v>
      </c>
      <c r="G45" s="7"/>
      <c r="H45" s="134"/>
      <c r="I45" s="4"/>
      <c r="J45" s="4"/>
      <c r="K45" s="133"/>
      <c r="L45" s="7"/>
      <c r="M45" s="7"/>
      <c r="N45" s="7"/>
      <c r="O45" s="7"/>
      <c r="P45" s="7"/>
      <c r="Q45" s="134"/>
      <c r="R45" s="495"/>
      <c r="S45" s="68"/>
      <c r="T45" s="4"/>
      <c r="U45" s="4"/>
      <c r="V45" s="4"/>
      <c r="W45" s="4"/>
      <c r="X45" s="95"/>
      <c r="Y45" s="95"/>
      <c r="Z45" s="95"/>
      <c r="AA45" s="4"/>
      <c r="AB45" s="4"/>
    </row>
    <row r="46" spans="1:28" ht="14.45" customHeight="1">
      <c r="A46" s="4"/>
      <c r="B46" s="133"/>
      <c r="C46" s="7"/>
      <c r="D46" s="589"/>
      <c r="E46" s="89" t="s">
        <v>77</v>
      </c>
      <c r="F46" s="361" t="s">
        <v>68</v>
      </c>
      <c r="G46" s="7"/>
      <c r="H46" s="134"/>
      <c r="I46" s="4"/>
      <c r="J46" s="68"/>
      <c r="K46" s="135"/>
      <c r="L46" s="7"/>
      <c r="M46" s="7"/>
      <c r="N46" s="7"/>
      <c r="O46" s="7"/>
      <c r="P46" s="7"/>
      <c r="Q46" s="134"/>
      <c r="R46" s="495"/>
      <c r="S46" s="4"/>
      <c r="T46" s="4"/>
      <c r="U46" s="4"/>
      <c r="V46" s="4"/>
      <c r="W46" s="4"/>
      <c r="X46" s="4"/>
      <c r="Y46" s="4"/>
      <c r="Z46" s="4"/>
      <c r="AA46" s="4"/>
      <c r="AB46" s="4"/>
    </row>
    <row r="47" spans="1:28" ht="14.45" customHeight="1">
      <c r="A47" s="4"/>
      <c r="B47" s="133"/>
      <c r="C47" s="7"/>
      <c r="D47" s="7"/>
      <c r="E47" s="7"/>
      <c r="F47" s="7"/>
      <c r="G47" s="65"/>
      <c r="H47" s="134"/>
      <c r="I47" s="4"/>
      <c r="J47" s="68"/>
      <c r="K47" s="135"/>
      <c r="L47" s="7"/>
      <c r="M47" s="7"/>
      <c r="N47" s="7"/>
      <c r="O47" s="7"/>
      <c r="P47" s="7"/>
      <c r="Q47" s="134"/>
      <c r="R47" s="133"/>
      <c r="S47" s="4"/>
      <c r="T47" s="4"/>
      <c r="U47" s="4"/>
      <c r="V47" s="4"/>
      <c r="W47" s="4"/>
      <c r="X47" s="4"/>
      <c r="Y47" s="4"/>
      <c r="Z47" s="4"/>
      <c r="AA47" s="4"/>
      <c r="AB47" s="4"/>
    </row>
    <row r="48" spans="1:28" ht="15.6" customHeight="1">
      <c r="A48" s="4"/>
      <c r="B48" s="133"/>
      <c r="C48" s="138"/>
      <c r="D48" s="138"/>
      <c r="E48" s="138"/>
      <c r="F48" s="138"/>
      <c r="G48" s="138"/>
      <c r="H48" s="134"/>
      <c r="I48" s="4"/>
      <c r="J48" s="4"/>
      <c r="K48" s="133"/>
      <c r="L48" s="138"/>
      <c r="M48" s="138"/>
      <c r="N48" s="138"/>
      <c r="O48" s="138"/>
      <c r="P48" s="138"/>
      <c r="Q48" s="134"/>
      <c r="R48" s="494"/>
      <c r="S48" s="4"/>
      <c r="T48" s="4"/>
      <c r="U48" s="11"/>
      <c r="V48" s="4"/>
      <c r="W48" s="4"/>
      <c r="X48" s="4"/>
      <c r="Y48" s="4"/>
      <c r="Z48" s="4"/>
      <c r="AA48" s="4"/>
      <c r="AB48" s="4"/>
    </row>
    <row r="49" spans="1:28" ht="14.45" customHeight="1">
      <c r="A49" s="4"/>
      <c r="B49" s="4"/>
      <c r="C49" s="4"/>
      <c r="D49" s="4"/>
      <c r="E49" s="4"/>
      <c r="F49" s="4"/>
      <c r="G49" s="4"/>
      <c r="H49" s="4"/>
      <c r="I49" s="4"/>
      <c r="J49" s="4"/>
      <c r="K49" s="4"/>
      <c r="L49" s="4"/>
      <c r="M49" s="4"/>
      <c r="N49" s="4"/>
      <c r="O49" s="4"/>
      <c r="P49" s="4"/>
      <c r="Q49" s="4"/>
      <c r="R49" s="4"/>
      <c r="S49" s="4"/>
      <c r="T49" s="4"/>
      <c r="U49" s="4"/>
      <c r="V49" s="4"/>
      <c r="W49" s="4"/>
      <c r="X49" s="4"/>
      <c r="Y49" s="4"/>
      <c r="Z49" s="4"/>
      <c r="AA49" s="4"/>
      <c r="AB49" s="4"/>
    </row>
    <row r="50" spans="1:28" ht="14.45" customHeight="1">
      <c r="A50" s="4"/>
      <c r="B50" s="102" t="s">
        <v>78</v>
      </c>
      <c r="C50" s="4"/>
      <c r="D50" s="4"/>
      <c r="E50" s="4"/>
      <c r="F50" s="4"/>
      <c r="G50" s="4"/>
      <c r="H50" s="4"/>
      <c r="I50" s="4"/>
      <c r="J50" s="4"/>
      <c r="K50" s="4"/>
      <c r="L50" s="4"/>
      <c r="M50" s="4"/>
      <c r="N50" s="4"/>
      <c r="O50" s="4"/>
      <c r="P50" s="4"/>
      <c r="Q50" s="4"/>
      <c r="R50" s="4"/>
      <c r="S50" s="4"/>
      <c r="T50" s="4"/>
      <c r="U50" s="4"/>
      <c r="V50" s="4"/>
      <c r="W50" s="4"/>
      <c r="X50" s="4"/>
      <c r="Y50" s="4"/>
      <c r="Z50" s="4"/>
      <c r="AA50" s="4"/>
      <c r="AB50" s="4"/>
    </row>
    <row r="51" spans="1:28" ht="14.45" customHeight="1" outlineLevel="1">
      <c r="A51" s="102"/>
      <c r="B51" s="92"/>
      <c r="C51" s="102"/>
      <c r="D51" s="102"/>
      <c r="E51" s="102"/>
      <c r="F51" s="102"/>
      <c r="G51" s="102"/>
      <c r="H51" s="102"/>
      <c r="I51" s="102"/>
      <c r="J51" s="102"/>
      <c r="K51" s="102"/>
      <c r="L51" s="102"/>
      <c r="M51" s="102"/>
      <c r="N51" s="102"/>
      <c r="O51" s="102"/>
      <c r="P51" s="102"/>
      <c r="Q51" s="102"/>
      <c r="R51" s="102"/>
      <c r="S51" s="102"/>
      <c r="T51" s="102"/>
      <c r="U51" s="102"/>
      <c r="V51" s="102"/>
      <c r="W51" s="102"/>
      <c r="X51" s="102"/>
      <c r="Y51" s="102"/>
      <c r="Z51" s="102"/>
      <c r="AA51" s="102"/>
      <c r="AB51" s="102"/>
    </row>
    <row r="52" spans="1:28" ht="14.45" customHeight="1" outlineLevel="1">
      <c r="A52" s="102"/>
      <c r="B52" s="538"/>
      <c r="C52" s="69" t="s">
        <v>79</v>
      </c>
      <c r="D52" s="69"/>
      <c r="E52" s="69"/>
      <c r="F52" s="69"/>
      <c r="G52" s="69"/>
      <c r="H52" s="69"/>
      <c r="I52" s="131"/>
      <c r="J52" s="131"/>
      <c r="K52" s="131"/>
      <c r="L52" s="131"/>
      <c r="M52" s="131"/>
      <c r="N52" s="131"/>
      <c r="O52" s="131"/>
      <c r="P52" s="131"/>
      <c r="Q52" s="131"/>
      <c r="R52" s="131"/>
      <c r="S52" s="131"/>
      <c r="T52" s="131"/>
      <c r="U52" s="131"/>
      <c r="V52" s="131"/>
      <c r="W52" s="131"/>
      <c r="X52" s="131"/>
      <c r="Y52" s="131"/>
      <c r="Z52" s="131"/>
      <c r="AA52" s="131"/>
      <c r="AB52" s="102"/>
    </row>
    <row r="53" spans="1:28" ht="14.45" customHeight="1" outlineLevel="1">
      <c r="A53" s="102"/>
      <c r="B53" s="358"/>
      <c r="C53" s="7" t="s">
        <v>80</v>
      </c>
      <c r="D53" s="69"/>
      <c r="E53" s="69"/>
      <c r="F53" s="69"/>
      <c r="G53" s="69"/>
      <c r="H53" s="69"/>
      <c r="I53" s="131"/>
      <c r="J53" s="131"/>
      <c r="K53" s="131"/>
      <c r="L53" s="131"/>
      <c r="M53" s="131"/>
      <c r="N53" s="131"/>
      <c r="O53" s="131"/>
      <c r="P53" s="131"/>
      <c r="Q53" s="131"/>
      <c r="R53" s="131"/>
      <c r="S53" s="131"/>
      <c r="T53" s="131"/>
      <c r="U53" s="131"/>
      <c r="V53" s="131"/>
      <c r="W53" s="131"/>
      <c r="X53" s="131"/>
      <c r="Y53" s="131"/>
      <c r="Z53" s="131"/>
      <c r="AA53" s="131"/>
      <c r="AB53" s="102"/>
    </row>
    <row r="54" spans="1:28" ht="14.45" customHeight="1" outlineLevel="1">
      <c r="A54" s="102"/>
      <c r="B54" s="358"/>
      <c r="C54" s="7" t="s">
        <v>81</v>
      </c>
      <c r="D54" s="69"/>
      <c r="E54" s="69"/>
      <c r="F54" s="69"/>
      <c r="G54" s="69"/>
      <c r="H54" s="69"/>
      <c r="I54" s="131"/>
      <c r="J54" s="131"/>
      <c r="K54" s="131"/>
      <c r="L54" s="131"/>
      <c r="M54" s="131"/>
      <c r="N54" s="131"/>
      <c r="O54" s="131"/>
      <c r="P54" s="131"/>
      <c r="Q54" s="131"/>
      <c r="R54" s="131"/>
      <c r="S54" s="131"/>
      <c r="T54" s="131"/>
      <c r="U54" s="131"/>
      <c r="V54" s="131"/>
      <c r="W54" s="131"/>
      <c r="X54" s="131"/>
      <c r="Y54" s="131"/>
      <c r="Z54" s="131"/>
      <c r="AA54" s="131"/>
      <c r="AB54" s="102"/>
    </row>
    <row r="55" spans="1:28" ht="14.45" customHeight="1" outlineLevel="1">
      <c r="A55" s="102"/>
      <c r="B55" s="7"/>
      <c r="C55" s="7" t="s">
        <v>82</v>
      </c>
      <c r="D55" s="69"/>
      <c r="E55" s="69"/>
      <c r="F55" s="69"/>
      <c r="G55" s="69"/>
      <c r="H55" s="69"/>
      <c r="I55" s="131"/>
      <c r="J55" s="131"/>
      <c r="K55" s="131"/>
      <c r="L55" s="131"/>
      <c r="M55" s="131"/>
      <c r="N55" s="131"/>
      <c r="O55" s="131"/>
      <c r="P55" s="131"/>
      <c r="Q55" s="131"/>
      <c r="R55" s="131"/>
      <c r="S55" s="131"/>
      <c r="T55" s="131"/>
      <c r="U55" s="131"/>
      <c r="V55" s="131"/>
      <c r="W55" s="131"/>
      <c r="X55" s="131"/>
      <c r="Y55" s="131"/>
      <c r="Z55" s="131"/>
      <c r="AA55" s="131"/>
      <c r="AB55" s="102"/>
    </row>
    <row r="56" spans="1:28" ht="14.45" customHeight="1" outlineLevel="1">
      <c r="A56" s="102"/>
      <c r="B56" s="168">
        <v>1</v>
      </c>
      <c r="C56" s="69" t="s">
        <v>83</v>
      </c>
      <c r="D56" s="69"/>
      <c r="E56" s="69"/>
      <c r="F56" s="69"/>
      <c r="G56" s="69"/>
      <c r="H56" s="69"/>
      <c r="I56" s="131"/>
      <c r="J56" s="131"/>
      <c r="K56" s="131"/>
      <c r="L56" s="131"/>
      <c r="M56" s="131"/>
      <c r="N56" s="131"/>
      <c r="O56" s="131"/>
      <c r="P56" s="131"/>
      <c r="Q56" s="131"/>
      <c r="R56" s="131"/>
      <c r="S56" s="131"/>
      <c r="T56" s="131"/>
      <c r="U56" s="131"/>
      <c r="V56" s="131"/>
      <c r="W56" s="131"/>
      <c r="X56" s="131"/>
      <c r="Y56" s="131"/>
      <c r="Z56" s="131"/>
      <c r="AA56" s="131"/>
      <c r="AB56" s="102"/>
    </row>
    <row r="57" spans="1:28" ht="14.45" customHeight="1" outlineLevel="1">
      <c r="A57" s="102"/>
      <c r="B57" s="168">
        <v>2</v>
      </c>
      <c r="C57" s="69" t="s">
        <v>84</v>
      </c>
      <c r="D57" s="69"/>
      <c r="E57" s="69"/>
      <c r="F57" s="69"/>
      <c r="G57" s="69"/>
      <c r="H57" s="69"/>
      <c r="I57" s="131"/>
      <c r="J57" s="131"/>
      <c r="K57" s="131"/>
      <c r="L57" s="131"/>
      <c r="M57" s="131"/>
      <c r="N57" s="131"/>
      <c r="O57" s="131"/>
      <c r="P57" s="131"/>
      <c r="Q57" s="131"/>
      <c r="R57" s="131"/>
      <c r="S57" s="131"/>
      <c r="T57" s="131"/>
      <c r="U57" s="131"/>
      <c r="V57" s="131"/>
      <c r="W57" s="131"/>
      <c r="X57" s="131"/>
      <c r="Y57" s="131"/>
      <c r="Z57" s="131"/>
      <c r="AA57" s="131"/>
      <c r="AB57" s="102"/>
    </row>
    <row r="58" spans="1:28" ht="14.45" customHeight="1" outlineLevel="1">
      <c r="A58" s="102"/>
      <c r="B58" s="168">
        <v>3</v>
      </c>
      <c r="C58" s="69" t="s">
        <v>85</v>
      </c>
      <c r="D58" s="69"/>
      <c r="E58" s="69"/>
      <c r="F58" s="69"/>
      <c r="G58" s="69"/>
      <c r="H58" s="69"/>
      <c r="I58" s="131"/>
      <c r="J58" s="131"/>
      <c r="K58" s="131"/>
      <c r="L58" s="131"/>
      <c r="M58" s="131"/>
      <c r="N58" s="131"/>
      <c r="O58" s="131"/>
      <c r="P58" s="131"/>
      <c r="Q58" s="131"/>
      <c r="R58" s="131"/>
      <c r="S58" s="131"/>
      <c r="T58" s="131"/>
      <c r="U58" s="131"/>
      <c r="V58" s="131"/>
      <c r="W58" s="131"/>
      <c r="X58" s="131"/>
      <c r="Y58" s="131"/>
      <c r="Z58" s="131"/>
      <c r="AA58" s="131"/>
      <c r="AB58" s="102"/>
    </row>
    <row r="59" spans="1:28" ht="14.45" customHeight="1" outlineLevel="1">
      <c r="A59" s="102"/>
      <c r="B59" s="168">
        <v>4</v>
      </c>
      <c r="C59" s="69" t="s">
        <v>86</v>
      </c>
      <c r="D59" s="69"/>
      <c r="E59" s="69"/>
      <c r="F59" s="69"/>
      <c r="G59" s="69"/>
      <c r="H59" s="69"/>
      <c r="I59" s="131"/>
      <c r="J59" s="131"/>
      <c r="K59" s="131"/>
      <c r="L59" s="131"/>
      <c r="M59" s="131"/>
      <c r="N59" s="131"/>
      <c r="O59" s="131"/>
      <c r="P59" s="131"/>
      <c r="Q59" s="131"/>
      <c r="R59" s="131"/>
      <c r="S59" s="131"/>
      <c r="T59" s="131"/>
      <c r="U59" s="131"/>
      <c r="V59" s="131"/>
      <c r="W59" s="131"/>
      <c r="X59" s="131"/>
      <c r="Y59" s="131"/>
      <c r="Z59" s="131"/>
      <c r="AA59" s="131"/>
      <c r="AB59" s="102"/>
    </row>
    <row r="60" spans="1:28" ht="14.45" customHeight="1" outlineLevel="1">
      <c r="A60" s="102"/>
      <c r="B60" s="168">
        <v>5</v>
      </c>
      <c r="C60" s="69" t="s">
        <v>87</v>
      </c>
      <c r="D60" s="69"/>
      <c r="E60" s="69"/>
      <c r="F60" s="69"/>
      <c r="G60" s="69"/>
      <c r="H60" s="69"/>
      <c r="I60" s="131"/>
      <c r="J60" s="131"/>
      <c r="K60" s="131"/>
      <c r="L60" s="131"/>
      <c r="M60" s="131"/>
      <c r="N60" s="131"/>
      <c r="O60" s="131"/>
      <c r="P60" s="131"/>
      <c r="Q60" s="131"/>
      <c r="R60" s="131"/>
      <c r="S60" s="131"/>
      <c r="T60" s="131"/>
      <c r="U60" s="131"/>
      <c r="V60" s="131"/>
      <c r="W60" s="131"/>
      <c r="X60" s="131"/>
      <c r="Y60" s="131"/>
      <c r="Z60" s="131"/>
      <c r="AA60" s="131"/>
      <c r="AB60" s="102"/>
    </row>
    <row r="61" spans="1:28" ht="14.45" customHeight="1" outlineLevel="1">
      <c r="A61" s="102"/>
      <c r="B61" s="168">
        <v>6</v>
      </c>
      <c r="C61" s="69" t="s">
        <v>88</v>
      </c>
      <c r="D61" s="69"/>
      <c r="E61" s="69"/>
      <c r="F61" s="69"/>
      <c r="G61" s="69"/>
      <c r="H61" s="69"/>
      <c r="I61" s="131"/>
      <c r="J61" s="131"/>
      <c r="K61" s="131"/>
      <c r="L61" s="131"/>
      <c r="M61" s="131"/>
      <c r="N61" s="131"/>
      <c r="O61" s="131"/>
      <c r="P61" s="131"/>
      <c r="Q61" s="131"/>
      <c r="R61" s="131"/>
      <c r="S61" s="131"/>
      <c r="T61" s="131"/>
      <c r="U61" s="131"/>
      <c r="V61" s="131"/>
      <c r="W61" s="131"/>
      <c r="X61" s="131"/>
      <c r="Y61" s="131"/>
      <c r="Z61" s="131"/>
      <c r="AA61" s="131"/>
      <c r="AB61" s="102"/>
    </row>
    <row r="62" spans="1:28" ht="14.45" customHeight="1" outlineLevel="1">
      <c r="A62" s="102"/>
      <c r="B62" s="168">
        <v>7</v>
      </c>
      <c r="C62" s="569" t="s">
        <v>89</v>
      </c>
      <c r="D62" s="69"/>
      <c r="E62" s="69"/>
      <c r="F62" s="69"/>
      <c r="G62" s="69"/>
      <c r="H62" s="69"/>
      <c r="I62" s="131"/>
      <c r="J62" s="131"/>
      <c r="K62" s="131"/>
      <c r="L62" s="131"/>
      <c r="M62" s="131"/>
      <c r="N62" s="131"/>
      <c r="O62" s="131"/>
      <c r="P62" s="131"/>
      <c r="Q62" s="131"/>
      <c r="R62" s="131"/>
      <c r="S62" s="131"/>
      <c r="T62" s="131"/>
      <c r="U62" s="131"/>
      <c r="V62" s="131"/>
      <c r="W62" s="131"/>
      <c r="X62" s="131"/>
      <c r="Y62" s="131"/>
      <c r="Z62" s="131"/>
      <c r="AA62" s="131"/>
      <c r="AB62" s="102"/>
    </row>
    <row r="63" spans="1:28" ht="14.45" customHeight="1" outlineLevel="1">
      <c r="A63" s="102"/>
      <c r="B63" s="168"/>
      <c r="C63" s="570" t="s">
        <v>90</v>
      </c>
      <c r="D63" s="69"/>
      <c r="E63" s="69"/>
      <c r="F63" s="69"/>
      <c r="G63" s="69"/>
      <c r="H63" s="69"/>
      <c r="I63" s="131"/>
      <c r="J63" s="131"/>
      <c r="K63" s="131"/>
      <c r="L63" s="131"/>
      <c r="M63" s="131"/>
      <c r="N63" s="131"/>
      <c r="O63" s="131"/>
      <c r="P63" s="131"/>
      <c r="Q63" s="131"/>
      <c r="R63" s="131"/>
      <c r="S63" s="131"/>
      <c r="T63" s="131"/>
      <c r="U63" s="131"/>
      <c r="V63" s="131"/>
      <c r="W63" s="131"/>
      <c r="X63" s="131"/>
      <c r="Y63" s="131"/>
      <c r="Z63" s="131"/>
      <c r="AA63" s="131"/>
      <c r="AB63" s="102"/>
    </row>
    <row r="64" spans="1:28" ht="14.45" customHeight="1" outlineLevel="1">
      <c r="A64" s="102"/>
      <c r="B64" s="168"/>
      <c r="C64" s="571" t="s">
        <v>91</v>
      </c>
      <c r="D64" s="69"/>
      <c r="E64" s="69"/>
      <c r="F64" s="69"/>
      <c r="G64" s="69"/>
      <c r="H64" s="69"/>
      <c r="I64" s="131"/>
      <c r="J64" s="131"/>
      <c r="K64" s="131"/>
      <c r="L64" s="131"/>
      <c r="M64" s="131"/>
      <c r="N64" s="131"/>
      <c r="O64" s="131"/>
      <c r="P64" s="131"/>
      <c r="Q64" s="131"/>
      <c r="R64" s="131"/>
      <c r="S64" s="131"/>
      <c r="T64" s="131"/>
      <c r="U64" s="131"/>
      <c r="V64" s="131"/>
      <c r="W64" s="131"/>
      <c r="X64" s="131"/>
      <c r="Y64" s="131"/>
      <c r="Z64" s="131"/>
      <c r="AA64" s="131"/>
      <c r="AB64" s="102"/>
    </row>
    <row r="65" spans="1:28" ht="14.45" customHeight="1" outlineLevel="1">
      <c r="A65" s="102"/>
      <c r="B65" s="168">
        <v>8</v>
      </c>
      <c r="C65" s="572" t="s">
        <v>92</v>
      </c>
      <c r="D65" s="69"/>
      <c r="E65" s="69"/>
      <c r="F65" s="69"/>
      <c r="G65" s="69"/>
      <c r="H65" s="69"/>
      <c r="I65" s="131"/>
      <c r="J65" s="131"/>
      <c r="K65" s="131"/>
      <c r="L65" s="131"/>
      <c r="M65" s="131"/>
      <c r="N65" s="131"/>
      <c r="O65" s="131"/>
      <c r="P65" s="131"/>
      <c r="Q65" s="131"/>
      <c r="R65" s="131"/>
      <c r="S65" s="131"/>
      <c r="T65" s="131"/>
      <c r="U65" s="131"/>
      <c r="V65" s="131"/>
      <c r="W65" s="131"/>
      <c r="X65" s="131"/>
      <c r="Y65" s="131"/>
      <c r="Z65" s="131"/>
      <c r="AA65" s="131"/>
      <c r="AB65" s="102"/>
    </row>
    <row r="66" spans="1:28" ht="14.45" customHeight="1" outlineLevel="1">
      <c r="A66" s="102"/>
      <c r="B66" s="168"/>
      <c r="C66" s="570" t="s">
        <v>93</v>
      </c>
      <c r="D66" s="69"/>
      <c r="E66" s="69"/>
      <c r="F66" s="69"/>
      <c r="G66" s="69"/>
      <c r="H66" s="69"/>
      <c r="I66" s="131"/>
      <c r="J66" s="131"/>
      <c r="K66" s="131"/>
      <c r="L66" s="131"/>
      <c r="M66" s="131"/>
      <c r="N66" s="131"/>
      <c r="O66" s="131"/>
      <c r="P66" s="131"/>
      <c r="Q66" s="131"/>
      <c r="R66" s="131"/>
      <c r="S66" s="131"/>
      <c r="T66" s="131"/>
      <c r="U66" s="131"/>
      <c r="V66" s="131"/>
      <c r="W66" s="131"/>
      <c r="X66" s="131"/>
      <c r="Y66" s="131"/>
      <c r="Z66" s="131"/>
      <c r="AA66" s="131"/>
      <c r="AB66" s="102"/>
    </row>
    <row r="67" spans="1:28" ht="14.45" customHeight="1" outlineLevel="1">
      <c r="A67" s="102"/>
      <c r="B67" s="168"/>
      <c r="C67" s="570" t="s">
        <v>94</v>
      </c>
      <c r="D67" s="69"/>
      <c r="E67" s="69"/>
      <c r="F67" s="69"/>
      <c r="G67" s="69"/>
      <c r="H67" s="69"/>
      <c r="I67" s="131"/>
      <c r="J67" s="131"/>
      <c r="K67" s="131"/>
      <c r="L67" s="131"/>
      <c r="M67" s="131"/>
      <c r="N67" s="131"/>
      <c r="O67" s="131"/>
      <c r="P67" s="131"/>
      <c r="Q67" s="131"/>
      <c r="R67" s="131"/>
      <c r="S67" s="131"/>
      <c r="T67" s="131"/>
      <c r="U67" s="131"/>
      <c r="V67" s="131"/>
      <c r="W67" s="131"/>
      <c r="X67" s="131"/>
      <c r="Y67" s="131"/>
      <c r="Z67" s="131"/>
      <c r="AA67" s="131"/>
      <c r="AB67" s="102"/>
    </row>
    <row r="68" spans="1:28" ht="14.45" customHeight="1" outlineLevel="1">
      <c r="A68" s="102"/>
      <c r="B68" s="168"/>
      <c r="C68" s="570" t="s">
        <v>95</v>
      </c>
      <c r="D68" s="69"/>
      <c r="E68" s="69"/>
      <c r="F68" s="69"/>
      <c r="G68" s="69"/>
      <c r="H68" s="69"/>
      <c r="I68" s="131"/>
      <c r="J68" s="131"/>
      <c r="K68" s="131"/>
      <c r="L68" s="131"/>
      <c r="M68" s="131"/>
      <c r="N68" s="131"/>
      <c r="O68" s="131"/>
      <c r="P68" s="131"/>
      <c r="Q68" s="131"/>
      <c r="R68" s="131"/>
      <c r="S68" s="131"/>
      <c r="T68" s="131"/>
      <c r="U68" s="131"/>
      <c r="V68" s="131"/>
      <c r="W68" s="131"/>
      <c r="X68" s="131"/>
      <c r="Y68" s="131"/>
      <c r="Z68" s="131"/>
      <c r="AA68" s="131"/>
      <c r="AB68" s="102"/>
    </row>
    <row r="69" spans="1:28" ht="14.45" customHeight="1" outlineLevel="1">
      <c r="A69" s="102"/>
      <c r="B69" s="168">
        <v>9</v>
      </c>
      <c r="C69" s="572" t="s">
        <v>96</v>
      </c>
      <c r="D69" s="69"/>
      <c r="E69" s="69"/>
      <c r="F69" s="69"/>
      <c r="G69" s="69"/>
      <c r="H69" s="69"/>
      <c r="I69" s="131"/>
      <c r="J69" s="131"/>
      <c r="K69" s="131"/>
      <c r="L69" s="131"/>
      <c r="M69" s="131"/>
      <c r="N69" s="131"/>
      <c r="O69" s="131"/>
      <c r="P69" s="131"/>
      <c r="Q69" s="131"/>
      <c r="R69" s="131"/>
      <c r="S69" s="131"/>
      <c r="T69" s="131"/>
      <c r="U69" s="131"/>
      <c r="V69" s="131"/>
      <c r="W69" s="131"/>
      <c r="X69" s="131"/>
      <c r="Y69" s="131"/>
      <c r="Z69" s="131"/>
      <c r="AA69" s="131"/>
      <c r="AB69" s="102"/>
    </row>
    <row r="70" spans="1:28" ht="14.45" customHeight="1" outlineLevel="1">
      <c r="A70" s="102"/>
      <c r="B70" s="168"/>
      <c r="C70" s="571" t="s">
        <v>97</v>
      </c>
      <c r="D70" s="69"/>
      <c r="E70" s="69"/>
      <c r="F70" s="69"/>
      <c r="G70" s="69"/>
      <c r="H70" s="69"/>
      <c r="I70" s="131"/>
      <c r="J70" s="131"/>
      <c r="K70" s="131"/>
      <c r="L70" s="131"/>
      <c r="M70" s="131"/>
      <c r="N70" s="131"/>
      <c r="O70" s="131"/>
      <c r="P70" s="131"/>
      <c r="Q70" s="131"/>
      <c r="R70" s="131"/>
      <c r="S70" s="131"/>
      <c r="T70" s="131"/>
      <c r="U70" s="131"/>
      <c r="V70" s="131"/>
      <c r="W70" s="131"/>
      <c r="X70" s="131"/>
      <c r="Y70" s="131"/>
      <c r="Z70" s="131"/>
      <c r="AA70" s="131"/>
      <c r="AB70" s="102"/>
    </row>
    <row r="71" spans="1:28" ht="14.45" customHeight="1" outlineLevel="1">
      <c r="A71" s="102"/>
      <c r="B71" s="168"/>
      <c r="C71" s="571" t="s">
        <v>98</v>
      </c>
      <c r="D71" s="69"/>
      <c r="E71" s="69"/>
      <c r="F71" s="69"/>
      <c r="G71" s="69"/>
      <c r="H71" s="69"/>
      <c r="I71" s="131"/>
      <c r="J71" s="131"/>
      <c r="K71" s="131"/>
      <c r="L71" s="131"/>
      <c r="M71" s="131"/>
      <c r="N71" s="131"/>
      <c r="O71" s="131"/>
      <c r="P71" s="131"/>
      <c r="Q71" s="131"/>
      <c r="R71" s="131"/>
      <c r="S71" s="131"/>
      <c r="T71" s="131"/>
      <c r="U71" s="131"/>
      <c r="V71" s="131"/>
      <c r="W71" s="131"/>
      <c r="X71" s="131"/>
      <c r="Y71" s="131"/>
      <c r="Z71" s="131"/>
      <c r="AA71" s="131"/>
      <c r="AB71" s="102"/>
    </row>
    <row r="72" spans="1:28" ht="14.45" customHeight="1" outlineLevel="1">
      <c r="A72" s="102"/>
      <c r="B72" s="168">
        <v>10</v>
      </c>
      <c r="C72" s="64" t="s">
        <v>99</v>
      </c>
      <c r="D72" s="69"/>
      <c r="E72" s="69"/>
      <c r="F72" s="69"/>
      <c r="G72" s="69"/>
      <c r="H72" s="69"/>
      <c r="I72" s="131"/>
      <c r="J72" s="131"/>
      <c r="K72" s="131"/>
      <c r="L72" s="131"/>
      <c r="M72" s="131"/>
      <c r="N72" s="131"/>
      <c r="O72" s="131"/>
      <c r="P72" s="131"/>
      <c r="Q72" s="131"/>
      <c r="R72" s="131"/>
      <c r="S72" s="131"/>
      <c r="T72" s="131"/>
      <c r="U72" s="131"/>
      <c r="V72" s="131"/>
      <c r="W72" s="131"/>
      <c r="X72" s="131"/>
      <c r="Y72" s="131"/>
      <c r="Z72" s="131"/>
      <c r="AA72" s="131"/>
      <c r="AB72" s="102"/>
    </row>
    <row r="73" spans="1:28" ht="14.45" customHeight="1" outlineLevel="1">
      <c r="A73" s="102"/>
      <c r="B73" s="168"/>
      <c r="C73" s="581" t="s">
        <v>100</v>
      </c>
      <c r="D73" s="69"/>
      <c r="E73" s="69"/>
      <c r="F73" s="69"/>
      <c r="G73" s="69"/>
      <c r="H73" s="69"/>
      <c r="I73" s="131"/>
      <c r="J73" s="131"/>
      <c r="K73" s="131"/>
      <c r="L73" s="131"/>
      <c r="M73" s="131"/>
      <c r="N73" s="131"/>
      <c r="O73" s="131"/>
      <c r="P73" s="131"/>
      <c r="Q73" s="131"/>
      <c r="R73" s="131"/>
      <c r="S73" s="131"/>
      <c r="T73" s="131"/>
      <c r="U73" s="131"/>
      <c r="V73" s="131"/>
      <c r="W73" s="131"/>
      <c r="X73" s="131"/>
      <c r="Y73" s="131"/>
      <c r="Z73" s="131"/>
      <c r="AA73" s="131"/>
      <c r="AB73" s="102"/>
    </row>
    <row r="74" spans="1:28" ht="14.45" customHeight="1" outlineLevel="1">
      <c r="A74" s="102"/>
      <c r="B74" s="168"/>
      <c r="C74" s="581" t="s">
        <v>101</v>
      </c>
      <c r="D74" s="69"/>
      <c r="E74" s="69"/>
      <c r="F74" s="69"/>
      <c r="G74" s="69"/>
      <c r="H74" s="69"/>
      <c r="I74" s="131"/>
      <c r="J74" s="131"/>
      <c r="K74" s="131"/>
      <c r="L74" s="131"/>
      <c r="M74" s="131"/>
      <c r="N74" s="131"/>
      <c r="O74" s="131"/>
      <c r="P74" s="131"/>
      <c r="Q74" s="131"/>
      <c r="R74" s="131"/>
      <c r="S74" s="131"/>
      <c r="T74" s="131"/>
      <c r="U74" s="131"/>
      <c r="V74" s="131"/>
      <c r="W74" s="131"/>
      <c r="X74" s="131"/>
      <c r="Y74" s="131"/>
      <c r="Z74" s="131"/>
      <c r="AA74" s="131"/>
      <c r="AB74" s="102"/>
    </row>
    <row r="75" spans="1:28" ht="14.45" customHeight="1" outlineLevel="1">
      <c r="A75" s="102"/>
      <c r="B75" s="168"/>
      <c r="C75" s="581" t="s">
        <v>102</v>
      </c>
      <c r="D75" s="69"/>
      <c r="E75" s="69"/>
      <c r="F75" s="69"/>
      <c r="G75" s="69"/>
      <c r="H75" s="69"/>
      <c r="I75" s="131"/>
      <c r="J75" s="131"/>
      <c r="K75" s="131"/>
      <c r="L75" s="131"/>
      <c r="M75" s="131"/>
      <c r="N75" s="131"/>
      <c r="O75" s="131"/>
      <c r="P75" s="131"/>
      <c r="Q75" s="131"/>
      <c r="R75" s="131"/>
      <c r="S75" s="131"/>
      <c r="T75" s="131"/>
      <c r="U75" s="131"/>
      <c r="V75" s="131"/>
      <c r="W75" s="131"/>
      <c r="X75" s="131"/>
      <c r="Y75" s="131"/>
      <c r="Z75" s="131"/>
      <c r="AA75" s="131"/>
      <c r="AB75" s="102"/>
    </row>
    <row r="76" spans="1:28" ht="14.45" customHeight="1" outlineLevel="1">
      <c r="A76" s="102"/>
      <c r="B76" s="168"/>
      <c r="C76" s="581" t="s">
        <v>103</v>
      </c>
      <c r="D76" s="69"/>
      <c r="E76" s="69"/>
      <c r="F76" s="69"/>
      <c r="G76" s="69"/>
      <c r="H76" s="69"/>
      <c r="I76" s="131"/>
      <c r="J76" s="131"/>
      <c r="K76" s="131"/>
      <c r="L76" s="131"/>
      <c r="M76" s="131"/>
      <c r="N76" s="131"/>
      <c r="O76" s="131"/>
      <c r="P76" s="131"/>
      <c r="Q76" s="131"/>
      <c r="R76" s="131"/>
      <c r="S76" s="131"/>
      <c r="T76" s="131"/>
      <c r="U76" s="131"/>
      <c r="V76" s="131"/>
      <c r="W76" s="131"/>
      <c r="X76" s="131"/>
      <c r="Y76" s="131"/>
      <c r="Z76" s="131"/>
      <c r="AA76" s="131"/>
      <c r="AB76" s="102"/>
    </row>
    <row r="77" spans="1:28" ht="14.45" customHeight="1" outlineLevel="1">
      <c r="A77" s="102"/>
      <c r="B77" s="168"/>
      <c r="C77" s="574" t="s">
        <v>104</v>
      </c>
      <c r="D77" s="69"/>
      <c r="E77" s="69"/>
      <c r="F77" s="69"/>
      <c r="G77" s="69"/>
      <c r="H77" s="69"/>
      <c r="I77" s="131"/>
      <c r="J77" s="131"/>
      <c r="K77" s="131"/>
      <c r="L77" s="131"/>
      <c r="M77" s="131"/>
      <c r="N77" s="131"/>
      <c r="O77" s="131"/>
      <c r="P77" s="131"/>
      <c r="Q77" s="131"/>
      <c r="R77" s="131"/>
      <c r="S77" s="131"/>
      <c r="T77" s="131"/>
      <c r="U77" s="131"/>
      <c r="V77" s="131"/>
      <c r="W77" s="131"/>
      <c r="X77" s="131"/>
      <c r="Y77" s="131"/>
      <c r="Z77" s="131"/>
      <c r="AA77" s="131"/>
      <c r="AB77" s="102"/>
    </row>
    <row r="78" spans="1:28" ht="14.45" customHeight="1" outlineLevel="1">
      <c r="A78" s="102"/>
      <c r="B78" s="168"/>
      <c r="C78" s="574" t="s">
        <v>105</v>
      </c>
      <c r="D78" s="69"/>
      <c r="E78" s="69"/>
      <c r="F78" s="69"/>
      <c r="G78" s="69"/>
      <c r="H78" s="69"/>
      <c r="I78" s="131"/>
      <c r="J78" s="131"/>
      <c r="K78" s="131"/>
      <c r="L78" s="131"/>
      <c r="M78" s="131"/>
      <c r="N78" s="131"/>
      <c r="O78" s="131"/>
      <c r="P78" s="131"/>
      <c r="Q78" s="131"/>
      <c r="R78" s="131"/>
      <c r="S78" s="131"/>
      <c r="T78" s="131"/>
      <c r="U78" s="131"/>
      <c r="V78" s="131"/>
      <c r="W78" s="131"/>
      <c r="X78" s="131"/>
      <c r="Y78" s="131"/>
      <c r="Z78" s="131"/>
      <c r="AA78" s="131"/>
      <c r="AB78" s="102"/>
    </row>
    <row r="79" spans="1:28" ht="14.45" customHeight="1" outlineLevel="1">
      <c r="A79" s="102"/>
      <c r="B79" s="168"/>
      <c r="C79" s="574" t="s">
        <v>106</v>
      </c>
      <c r="D79" s="69"/>
      <c r="E79" s="69"/>
      <c r="F79" s="69"/>
      <c r="G79" s="69"/>
      <c r="H79" s="69"/>
      <c r="I79" s="131"/>
      <c r="J79" s="131"/>
      <c r="K79" s="131"/>
      <c r="L79" s="131"/>
      <c r="M79" s="131"/>
      <c r="N79" s="131"/>
      <c r="O79" s="131"/>
      <c r="P79" s="131"/>
      <c r="Q79" s="131"/>
      <c r="R79" s="131"/>
      <c r="S79" s="131"/>
      <c r="T79" s="131"/>
      <c r="U79" s="131"/>
      <c r="V79" s="131"/>
      <c r="W79" s="131"/>
      <c r="X79" s="131"/>
      <c r="Y79" s="131"/>
      <c r="Z79" s="131"/>
      <c r="AA79" s="131"/>
      <c r="AB79" s="102"/>
    </row>
    <row r="80" spans="1:28" ht="14.45" customHeight="1" outlineLevel="1">
      <c r="A80" s="102"/>
      <c r="B80" s="168"/>
      <c r="C80" s="574" t="s">
        <v>107</v>
      </c>
      <c r="D80" s="69"/>
      <c r="E80" s="69"/>
      <c r="F80" s="69"/>
      <c r="G80" s="69"/>
      <c r="H80" s="69"/>
      <c r="I80" s="131"/>
      <c r="J80" s="131"/>
      <c r="K80" s="131"/>
      <c r="L80" s="131"/>
      <c r="M80" s="131"/>
      <c r="N80" s="131"/>
      <c r="O80" s="131"/>
      <c r="P80" s="131"/>
      <c r="Q80" s="131"/>
      <c r="R80" s="131"/>
      <c r="S80" s="131"/>
      <c r="T80" s="131"/>
      <c r="U80" s="131"/>
      <c r="V80" s="131"/>
      <c r="W80" s="131"/>
      <c r="X80" s="131"/>
      <c r="Y80" s="131"/>
      <c r="Z80" s="131"/>
      <c r="AA80" s="131"/>
      <c r="AB80" s="102"/>
    </row>
    <row r="81" spans="1:28" ht="14.45" customHeight="1" outlineLevel="1">
      <c r="A81" s="102"/>
      <c r="B81" s="168"/>
      <c r="C81" s="574" t="s">
        <v>108</v>
      </c>
      <c r="D81" s="69"/>
      <c r="E81" s="69"/>
      <c r="F81" s="69"/>
      <c r="G81" s="69"/>
      <c r="H81" s="69"/>
      <c r="I81" s="131"/>
      <c r="J81" s="131"/>
      <c r="K81" s="131"/>
      <c r="L81" s="131"/>
      <c r="M81" s="131"/>
      <c r="N81" s="131"/>
      <c r="O81" s="131"/>
      <c r="P81" s="131"/>
      <c r="Q81" s="131"/>
      <c r="R81" s="131"/>
      <c r="S81" s="131"/>
      <c r="T81" s="131"/>
      <c r="U81" s="131"/>
      <c r="V81" s="131"/>
      <c r="W81" s="131"/>
      <c r="X81" s="131"/>
      <c r="Y81" s="131"/>
      <c r="Z81" s="131"/>
      <c r="AA81" s="131"/>
      <c r="AB81" s="102"/>
    </row>
    <row r="82" spans="1:28" ht="14.45" customHeight="1" outlineLevel="1">
      <c r="A82" s="102"/>
      <c r="B82" s="168"/>
      <c r="C82" s="574" t="s">
        <v>109</v>
      </c>
      <c r="D82" s="69"/>
      <c r="E82" s="69"/>
      <c r="F82" s="69"/>
      <c r="G82" s="69"/>
      <c r="H82" s="69"/>
      <c r="I82" s="131"/>
      <c r="J82" s="131"/>
      <c r="K82" s="131"/>
      <c r="L82" s="131"/>
      <c r="M82" s="131"/>
      <c r="N82" s="131"/>
      <c r="O82" s="131"/>
      <c r="P82" s="131"/>
      <c r="Q82" s="131"/>
      <c r="R82" s="131"/>
      <c r="S82" s="131"/>
      <c r="T82" s="131"/>
      <c r="U82" s="131"/>
      <c r="V82" s="131"/>
      <c r="W82" s="131"/>
      <c r="X82" s="131"/>
      <c r="Y82" s="131"/>
      <c r="Z82" s="131"/>
      <c r="AA82" s="131"/>
      <c r="AB82" s="102"/>
    </row>
    <row r="83" spans="1:28" ht="14.45" customHeight="1" outlineLevel="1">
      <c r="A83" s="102"/>
      <c r="B83" s="168"/>
      <c r="C83" s="574" t="s">
        <v>110</v>
      </c>
      <c r="D83" s="69"/>
      <c r="E83" s="69"/>
      <c r="F83" s="69"/>
      <c r="G83" s="69"/>
      <c r="H83" s="69"/>
      <c r="I83" s="131"/>
      <c r="J83" s="131"/>
      <c r="K83" s="131"/>
      <c r="L83" s="131"/>
      <c r="M83" s="131"/>
      <c r="N83" s="131"/>
      <c r="O83" s="131"/>
      <c r="P83" s="131"/>
      <c r="Q83" s="131"/>
      <c r="R83" s="131"/>
      <c r="S83" s="131"/>
      <c r="T83" s="131"/>
      <c r="U83" s="131"/>
      <c r="V83" s="131"/>
      <c r="W83" s="131"/>
      <c r="X83" s="131"/>
      <c r="Y83" s="131"/>
      <c r="Z83" s="131"/>
      <c r="AA83" s="131"/>
      <c r="AB83" s="102"/>
    </row>
    <row r="84" spans="1:28" ht="14.45" customHeight="1" outlineLevel="1">
      <c r="A84" s="102"/>
      <c r="B84" s="168">
        <v>11</v>
      </c>
      <c r="C84" s="1" t="s">
        <v>111</v>
      </c>
      <c r="D84" s="69"/>
      <c r="E84" s="69"/>
      <c r="F84" s="69"/>
      <c r="G84" s="69"/>
      <c r="H84" s="69"/>
      <c r="I84" s="131"/>
      <c r="J84" s="131"/>
      <c r="K84" s="131"/>
      <c r="L84" s="131"/>
      <c r="M84" s="131"/>
      <c r="N84" s="131"/>
      <c r="O84" s="131"/>
      <c r="P84" s="131"/>
      <c r="Q84" s="131"/>
      <c r="R84" s="131"/>
      <c r="S84" s="131"/>
      <c r="T84" s="131"/>
      <c r="U84" s="131"/>
      <c r="V84" s="131"/>
      <c r="W84" s="131"/>
      <c r="X84" s="131"/>
      <c r="Y84" s="131"/>
      <c r="Z84" s="131"/>
      <c r="AA84" s="131"/>
      <c r="AB84" s="102"/>
    </row>
    <row r="85" spans="1:28" ht="14.45" customHeight="1" outlineLevel="1">
      <c r="A85" s="102"/>
      <c r="B85" s="358" t="s">
        <v>0</v>
      </c>
      <c r="C85" s="7"/>
      <c r="D85" s="69"/>
      <c r="E85" s="69"/>
      <c r="F85" s="69"/>
      <c r="G85" s="69"/>
      <c r="H85" s="69"/>
      <c r="I85" s="131"/>
      <c r="J85" s="131"/>
      <c r="K85" s="131"/>
      <c r="L85" s="131"/>
      <c r="M85" s="131"/>
      <c r="N85" s="131"/>
      <c r="O85" s="131"/>
      <c r="P85" s="131"/>
      <c r="Q85" s="131"/>
      <c r="R85" s="131"/>
      <c r="S85" s="131"/>
      <c r="T85" s="131"/>
      <c r="U85" s="131"/>
      <c r="V85" s="131"/>
      <c r="W85" s="131"/>
      <c r="X85" s="131"/>
      <c r="Y85" s="131"/>
      <c r="Z85" s="131"/>
      <c r="AA85" s="131"/>
      <c r="AB85" s="102"/>
    </row>
    <row r="86" spans="1:28">
      <c r="A86" s="4"/>
      <c r="B86" s="4"/>
      <c r="C86" s="4"/>
      <c r="D86" s="4"/>
      <c r="E86" s="4"/>
      <c r="F86" s="4"/>
      <c r="G86" s="4"/>
      <c r="H86" s="4"/>
      <c r="I86" s="4"/>
      <c r="J86" s="4"/>
      <c r="K86" s="4"/>
      <c r="L86" s="4"/>
      <c r="M86" s="4"/>
      <c r="N86" s="4"/>
      <c r="O86" s="4"/>
      <c r="P86" s="4"/>
      <c r="Q86" s="4"/>
      <c r="R86" s="4"/>
      <c r="S86" s="4"/>
      <c r="T86" s="4"/>
      <c r="U86" s="4"/>
      <c r="V86" s="4"/>
      <c r="W86" s="4"/>
      <c r="X86" s="4"/>
      <c r="Y86" s="4"/>
      <c r="Z86" s="4"/>
      <c r="AA86" s="4"/>
      <c r="AB86" s="4"/>
    </row>
    <row r="97" customFormat="1" hidden="1"/>
    <row r="98" customFormat="1" hidden="1"/>
  </sheetData>
  <mergeCells count="16">
    <mergeCell ref="W25:W31"/>
    <mergeCell ref="W18:Y18"/>
    <mergeCell ref="K7:Q7"/>
    <mergeCell ref="B2:AA2"/>
    <mergeCell ref="B4:H4"/>
    <mergeCell ref="K4:R4"/>
    <mergeCell ref="U4:AA4"/>
    <mergeCell ref="L6:R6"/>
    <mergeCell ref="D9:F9"/>
    <mergeCell ref="M9:O9"/>
    <mergeCell ref="M11:M17"/>
    <mergeCell ref="D41:D46"/>
    <mergeCell ref="O15:O16"/>
    <mergeCell ref="O25:O26"/>
    <mergeCell ref="M24:M31"/>
    <mergeCell ref="M40:M44"/>
  </mergeCells>
  <phoneticPr fontId="1" type="noConversion"/>
  <hyperlinks>
    <hyperlink ref="O11" location="'2 App Requirements'!A1" display="example" xr:uid="{4D5962BE-CAA6-4F30-B001-1A9D29E23A2D}"/>
    <hyperlink ref="Y25" location="'5 Develop BCP'!A1" display="considerations" xr:uid="{529EB17B-7F62-4C63-85BA-C98C3B5D2F12}"/>
    <hyperlink ref="Y27" location="'5 Multi-App Continuity'!A1" display="example" xr:uid="{C8042ECB-A100-4941-BB4A-58B96A2FA4AA}"/>
    <hyperlink ref="Y28" location="'5 Business Critical Calendar'!A1" display="example" xr:uid="{BFC43456-ACAD-4665-909E-B8D9DD33F7F0}"/>
    <hyperlink ref="Y29" location="'5 BIA | Portfolio Summary'!A1" display="example" xr:uid="{4E69DEC0-C9D9-4418-B54D-401F37F2A7D3}"/>
    <hyperlink ref="Y30" location="'5 Dashboard'!A1" display="example" xr:uid="{26911288-F15B-4481-9804-6B019493F3C2}"/>
    <hyperlink ref="F42" location="'1B Commitment, Blueprints'!A1" display="template" xr:uid="{A15FC9A6-B252-44D1-B1B6-CA8B25B2548D}"/>
    <hyperlink ref="F41" location="'1B Criticality'!A1" display="template" xr:uid="{6213EE47-331C-491A-9D5E-19B7E92DF6F8}"/>
    <hyperlink ref="Y26" location="'5 Risk'!A1" display="example" xr:uid="{8305FE19-D626-4730-93C5-B201756DD236}"/>
    <hyperlink ref="O24" location="'3 Response Plan'!A1" display="example" xr:uid="{F6FCB0A3-BDDE-465C-8F37-97D90239D162}"/>
    <hyperlink ref="O40" location="'4 Test Summary'!A1" display="example" xr:uid="{D37907A2-110A-4CE4-83C5-44F9966F592A}"/>
    <hyperlink ref="F46" location="'1B Test Types'!A1" display="template" xr:uid="{1802DF9C-E0F7-4345-848B-A4AF16B7C2FC}"/>
    <hyperlink ref="Y31" location="'5 Maintain BCP'!A1" display="example" xr:uid="{5477D777-D765-4828-AFA1-A06ABF08EC01}"/>
    <hyperlink ref="F43" location="'1B Fault Model'!A1" display="template" xr:uid="{8319C549-1620-43A1-85EF-A5B79740A001}"/>
    <hyperlink ref="B85" location="Version!A1" display="Version" xr:uid="{3EDBDA0B-0993-43F6-A21A-C87A46D79081}"/>
    <hyperlink ref="O12" location="'2 Service Map'!A1" display="example" xr:uid="{6BFB28A3-4714-40DB-9D74-B4C8257CB8E9}"/>
    <hyperlink ref="O13" location="'2 BIA'!A1" display="example" xr:uid="{5F0F41FA-BD11-4228-856B-1F2DD5C27A7A}"/>
    <hyperlink ref="O17" location="'2 Metric Analysis (-BCDR)'!A1" display="example" xr:uid="{FAFFEDD2-E95B-44F0-AB8C-AFF7104D2482}"/>
    <hyperlink ref="O14" location="'2 Fault Tree Analysis (-BCDR)'!A1" display="example" xr:uid="{1EE49A2D-0D5C-4BFF-A5F4-C296C0AA1F64}"/>
    <hyperlink ref="F44" location="'1B RACI'!A1" display="template" xr:uid="{FF37AD3E-FD98-4170-8755-2A45B8C5B24B}"/>
    <hyperlink ref="F45" location="'1B Requirements'!A1" display="template" xr:uid="{30986DC2-ECA6-4A47-9CF1-04352C4DCC5B}"/>
    <hyperlink ref="O27" location="'3 Cost Comparison'!A1" display="example" xr:uid="{5C86E89B-700B-4893-8E17-A55347BFB1BF}"/>
    <hyperlink ref="O28" location="'3 Metric Comparison'!A1" display="example" xr:uid="{819F033F-AA92-418D-85DB-537EB8DFD755}"/>
    <hyperlink ref="O29" location="'3 Fault Tree Analysis (+BCDR)'!A1" display="example" xr:uid="{726F7980-295F-43EE-A0CB-CDCAF60F9AF2}"/>
    <hyperlink ref="O30" location="'3 Contingency Plan'!A1" display="example" xr:uid="{267F7BB1-9160-4D92-9B52-99F723E55947}"/>
    <hyperlink ref="O31" location="'3 Role Assignment'!A1" display="example" xr:uid="{8260E9EA-98B9-4F86-B14F-5D5AA89FDC8C}"/>
    <hyperlink ref="O41" location="'4. Test Plan (Failover)'!A1" display="example" xr:uid="{7937BBB6-24C4-42D4-8263-04D5FF82265B}"/>
    <hyperlink ref="O42" location="'4. Test Plan (UAT)'!A1" display="example" xr:uid="{C863E503-7E9A-42AC-8406-F73EB6A37E97}"/>
    <hyperlink ref="O43" location="'4 App Outage Communication'!A1" display="example" xr:uid="{24DA1636-7412-4FCA-BC98-25CFCC92DAE6}"/>
    <hyperlink ref="O44" location="'4 Maintain ACP'!A1" display="example" xr:uid="{0E3F477D-4B6A-4384-A8AC-DD77A28BA8CB}"/>
    <hyperlink ref="C66" r:id="rId1" location="cost-vs-reliability" display="Cost" xr:uid="{06BB014E-2E43-4E8C-AEFC-360B1D687BB4}"/>
    <hyperlink ref="C67" r:id="rId2" location="performance-efficiency-vs-reliability" display="Performance" xr:uid="{164367C4-0B08-4C04-933F-2234F37DEA9A}"/>
    <hyperlink ref="C68" r:id="rId3" location="security-vs-reliability" display="Security" xr:uid="{894172DD-2143-46EE-8425-570E6AE760E8}"/>
    <hyperlink ref="C63" r:id="rId4" location="azure-services-reliability-guides" display="Review Azure services reliability guides" xr:uid="{EE762634-1E04-4C2C-A6E0-1A1F0747E2B4}"/>
    <hyperlink ref="C64" r:id="rId5" display="https://learn.microsoft.com/en-us/azure/architecture/checklist/resiliency-per-service?bc=%2Fazure%2Fcloud-adoption-framework%2F_bread%2Ftoc.json&amp;toc=%2Fazure%2Fcloud-adoption-framework%2Ftoc.json" xr:uid="{B3DDEAE4-74CC-47FB-80C0-8EDFB8D64F1B}"/>
    <hyperlink ref="C70" r:id="rId6" location="overview" display="https://azure.microsoft.com/en-us/pricing/offers/azure-fasttrack/ - overview" xr:uid="{4D3647E2-759F-4344-BCEA-70D647E9C82F}"/>
    <hyperlink ref="C71" r:id="rId7" display="https://learn.microsoft.com/en-us/azure/fasttrack/" xr:uid="{D61C5F8B-E6FA-4220-AB2F-8E4E41DBA9A5}"/>
    <hyperlink ref="D19" r:id="rId8" location="shared-responsibility-model" display="Review the shared responsibility model" xr:uid="{9A22030E-6F51-4E50-82F5-4C6A9B0307BA}"/>
    <hyperlink ref="D23" r:id="rId9" location="availability-zones" display="Azure Availability Zones" xr:uid="{DB5914C3-2CEA-4C5C-B241-3B7DF225D66C}"/>
    <hyperlink ref="D21" r:id="rId10" location="regions" display="What are Azure regions and availability zones? | Microsoft Learn" xr:uid="{F4FC600F-8BD2-4750-B22A-4AF12AB50C6C}"/>
    <hyperlink ref="D20" r:id="rId11" location="overview" xr:uid="{122289B9-8FAE-4091-9BCC-878EF1DD9FFB}"/>
    <hyperlink ref="D22" r:id="rId12" location="azure-cross-region-replication-pairings-for-all-geographies" xr:uid="{E857AB33-CDDD-4B8E-A9C6-E5D13ED5EC0C}"/>
    <hyperlink ref="D24" r:id="rId13" xr:uid="{5FB06CFC-7436-4E6E-9FFC-8D55D5BAB5B2}"/>
    <hyperlink ref="D26" r:id="rId14" display="Cloud Design Patterns" xr:uid="{E2C72D56-4BD1-4E83-A9C5-F5EF2E3B67E5}"/>
    <hyperlink ref="D29" r:id="rId15" xr:uid="{011C254D-0FC1-4C80-83A5-932CDFA54576}"/>
    <hyperlink ref="D28" r:id="rId16" xr:uid="{5FEECE58-90D9-4D34-AD1B-A46FC6222188}"/>
    <hyperlink ref="D31" r:id="rId17" location="azure-and-dynamics-365" xr:uid="{30DE673B-416D-458E-9DCA-B859AF33DD55}"/>
    <hyperlink ref="O15:O16" location="'2 Architecture Resilience | Gap'!A1" display="example" xr:uid="{D2E4ED81-83FF-4918-B776-FF872991C7BA}"/>
    <hyperlink ref="D25" r:id="rId18" xr:uid="{9E003BA6-C976-49DD-8494-DD6E479BC869}"/>
    <hyperlink ref="O25:O26" location="'3 Architecture | BCDR Design'!A1" display="example" xr:uid="{A05D6615-7951-4760-93C8-0D24D16EE901}"/>
    <hyperlink ref="C74" r:id="rId19" display="Azure App Service" xr:uid="{11AB0A5B-33A3-440F-A024-05BE64EC6CE9}"/>
    <hyperlink ref="C80" r:id="rId20" display="Key Vault" xr:uid="{E297438D-02CE-4C64-8266-3060F6CD8D73}"/>
    <hyperlink ref="C75" r:id="rId21" display="Azure DNS" xr:uid="{A4863B4C-EF66-4285-AEBD-F52555AACA74}"/>
    <hyperlink ref="C73" r:id="rId22" display="Azure AD" xr:uid="{609B9E2A-7DDD-4B6B-B20E-4558050806C1}"/>
    <hyperlink ref="C77" r:id="rId23" xr:uid="{8363EE69-EFF9-48BE-9110-09487B834DC4}"/>
    <hyperlink ref="C76" r:id="rId24" display="Azure Service Bus Geo-DR" xr:uid="{AFCCC2F9-A13A-45FE-B821-AFBFF90F8E67}"/>
    <hyperlink ref="C78" r:id="rId25" display="Azure SQL Database" xr:uid="{5DFD9E4D-1526-467B-9417-3B37AD7EC59E}"/>
    <hyperlink ref="C79" r:id="rId26" xr:uid="{98AA87B1-C6B5-4315-A06C-61C4FA60A566}"/>
    <hyperlink ref="C83" r:id="rId27" xr:uid="{E8EF0D1E-DD28-4F9A-ABB4-A333C4243A14}"/>
    <hyperlink ref="C82" r:id="rId28" display="Blobs (Soft Delete)" xr:uid="{C5EF4E40-3073-4598-B40E-CA496B1EFFAE}"/>
    <hyperlink ref="C81" r:id="rId29" xr:uid="{DA96AF9E-88A2-4CA9-9720-F117EBEA3423}"/>
    <hyperlink ref="D32" r:id="rId30" xr:uid="{195C08B5-69B0-428C-8DE1-43D863E9845C}"/>
    <hyperlink ref="D33" r:id="rId31" xr:uid="{AECD8323-AD37-49B0-8F2A-21BE294254C4}"/>
    <hyperlink ref="D34" r:id="rId32" display="Azure Policy" xr:uid="{7E7BABDF-B4CB-4DA2-ACAE-5D014B539DF7}"/>
    <hyperlink ref="C84" r:id="rId33" display="Automate BCDR auditting, enforcement and auto-remediation with Azure Policy" xr:uid="{EE0FDE3F-B415-4356-ABDA-B2BDC623C8C7}"/>
  </hyperlinks>
  <pageMargins left="0.7" right="0.7" top="0.75" bottom="0.75" header="0.3" footer="0.3"/>
  <pageSetup orientation="portrait" r:id="rId34"/>
  <drawing r:id="rId35"/>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502646-4F7A-4AA8-B3A0-E891D7D9766B}">
  <sheetPr>
    <tabColor rgb="FFFFB900"/>
  </sheetPr>
  <dimension ref="A1:AT201"/>
  <sheetViews>
    <sheetView showGridLines="0" showRowColHeaders="0" topLeftCell="A2" zoomScale="70" zoomScaleNormal="70" workbookViewId="0">
      <selection activeCell="A8" sqref="A8"/>
    </sheetView>
  </sheetViews>
  <sheetFormatPr defaultColWidth="0" defaultRowHeight="14.45" customHeight="1" zeroHeight="1" outlineLevelRow="1"/>
  <cols>
    <col min="1" max="2" width="5.85546875" customWidth="1"/>
    <col min="3" max="3" width="3.85546875" customWidth="1"/>
    <col min="4" max="4" width="20.42578125" customWidth="1"/>
    <col min="5" max="5" width="21.5703125" customWidth="1"/>
    <col min="6" max="6" width="41.42578125" customWidth="1"/>
    <col min="7" max="7" width="29.42578125" customWidth="1"/>
    <col min="8" max="8" width="20.5703125" customWidth="1"/>
    <col min="9" max="9" width="25.140625" bestFit="1" customWidth="1"/>
    <col min="10" max="10" width="20.5703125" customWidth="1"/>
    <col min="11" max="11" width="28.85546875" bestFit="1" customWidth="1"/>
    <col min="12" max="12" width="20.85546875" bestFit="1" customWidth="1"/>
    <col min="13" max="13" width="20.42578125" bestFit="1" customWidth="1"/>
    <col min="14" max="14" width="20.42578125" customWidth="1"/>
    <col min="15" max="15" width="30.140625" customWidth="1"/>
    <col min="16" max="16" width="26.42578125" bestFit="1" customWidth="1"/>
    <col min="17" max="17" width="18.42578125" customWidth="1"/>
    <col min="18" max="18" width="18.85546875" customWidth="1"/>
    <col min="19" max="19" width="13.140625" bestFit="1" customWidth="1"/>
    <col min="20" max="20" width="53.42578125" customWidth="1"/>
    <col min="21" max="22" width="3.85546875" customWidth="1"/>
    <col min="23" max="23" width="11" hidden="1" customWidth="1"/>
    <col min="24" max="24" width="11.140625" hidden="1" customWidth="1"/>
    <col min="25" max="25" width="11.42578125" hidden="1" customWidth="1"/>
    <col min="26" max="26" width="11" hidden="1" customWidth="1"/>
    <col min="27" max="27" width="11.140625" hidden="1" customWidth="1"/>
    <col min="28" max="28" width="10.42578125" hidden="1" customWidth="1"/>
    <col min="29" max="29" width="50.85546875" hidden="1" customWidth="1"/>
    <col min="30" max="31" width="3.85546875" hidden="1" customWidth="1"/>
    <col min="32" max="46" width="0" hidden="1" customWidth="1"/>
    <col min="47" max="16384" width="8.85546875" hidden="1"/>
  </cols>
  <sheetData>
    <row r="1" spans="1:22">
      <c r="A1" s="4"/>
      <c r="B1" s="4"/>
      <c r="C1" s="4"/>
      <c r="D1" s="4"/>
      <c r="E1" s="4"/>
      <c r="F1" s="4"/>
      <c r="G1" s="4"/>
      <c r="H1" s="4"/>
      <c r="I1" s="4"/>
      <c r="J1" s="4"/>
      <c r="K1" s="4"/>
      <c r="L1" s="4"/>
      <c r="M1" s="4"/>
      <c r="N1" s="4"/>
      <c r="O1" s="4"/>
      <c r="P1" s="4"/>
      <c r="Q1" s="4"/>
      <c r="R1" s="4"/>
      <c r="S1" s="8"/>
      <c r="T1" s="4"/>
      <c r="U1" s="4"/>
      <c r="V1" s="4"/>
    </row>
    <row r="2" spans="1:22" ht="21">
      <c r="A2" s="4"/>
      <c r="B2" s="4"/>
      <c r="C2" s="618" t="s">
        <v>1392</v>
      </c>
      <c r="D2" s="618"/>
      <c r="E2" s="618"/>
      <c r="F2" s="618"/>
      <c r="G2" s="618"/>
      <c r="H2" s="618"/>
      <c r="I2" s="618"/>
      <c r="J2" s="618"/>
      <c r="K2" s="618"/>
      <c r="L2" s="618"/>
      <c r="M2" s="618"/>
      <c r="N2" s="618"/>
      <c r="O2" s="618"/>
      <c r="P2" s="618"/>
      <c r="Q2" s="618"/>
      <c r="R2" s="618"/>
      <c r="S2" s="618"/>
      <c r="T2" s="618"/>
      <c r="U2" s="618"/>
      <c r="V2" s="6"/>
    </row>
    <row r="3" spans="1:22">
      <c r="A3" s="4"/>
      <c r="B3" s="4"/>
      <c r="C3" s="646" t="s">
        <v>1137</v>
      </c>
      <c r="D3" s="646"/>
      <c r="E3" s="646"/>
      <c r="F3" s="646"/>
      <c r="G3" s="646"/>
      <c r="H3" s="646"/>
      <c r="I3" s="646"/>
      <c r="J3" s="646"/>
      <c r="K3" s="646"/>
      <c r="L3" s="646"/>
      <c r="M3" s="646"/>
      <c r="N3" s="646"/>
      <c r="O3" s="646"/>
      <c r="P3" s="646"/>
      <c r="Q3" s="646"/>
      <c r="R3" s="646"/>
      <c r="S3" s="646"/>
      <c r="T3" s="646"/>
      <c r="U3" s="646"/>
      <c r="V3" s="178"/>
    </row>
    <row r="4" spans="1:22">
      <c r="A4" s="4"/>
      <c r="B4" s="4"/>
      <c r="C4" s="4"/>
      <c r="D4" s="4"/>
      <c r="E4" s="4"/>
      <c r="F4" s="4"/>
      <c r="G4" s="4"/>
      <c r="H4" s="4"/>
      <c r="I4" s="4"/>
      <c r="J4" s="4"/>
      <c r="K4" s="4"/>
      <c r="L4" s="4"/>
      <c r="M4" s="4"/>
      <c r="N4" s="4"/>
      <c r="O4" s="4"/>
      <c r="P4" s="4"/>
      <c r="Q4" s="4"/>
      <c r="R4" s="4"/>
      <c r="S4" s="8"/>
      <c r="T4" s="4"/>
      <c r="U4" s="4"/>
      <c r="V4" s="4"/>
    </row>
    <row r="5" spans="1:22" ht="18.600000000000001">
      <c r="A5" s="4"/>
      <c r="B5" s="4"/>
      <c r="C5" s="102" t="s">
        <v>1138</v>
      </c>
      <c r="D5" s="102"/>
      <c r="E5" s="101"/>
      <c r="F5" s="101"/>
      <c r="G5" s="101"/>
      <c r="H5" s="101"/>
      <c r="I5" s="101"/>
      <c r="J5" s="101"/>
      <c r="K5" s="101"/>
      <c r="L5" s="101"/>
      <c r="M5" s="101"/>
      <c r="N5" s="101"/>
      <c r="O5" s="101"/>
      <c r="P5" s="101"/>
      <c r="Q5" s="101"/>
      <c r="R5" s="101"/>
      <c r="S5" s="103"/>
      <c r="T5" s="101"/>
      <c r="U5" s="101"/>
      <c r="V5" s="101"/>
    </row>
    <row r="6" spans="1:22">
      <c r="A6" s="4"/>
      <c r="B6" s="4"/>
      <c r="C6" s="4"/>
      <c r="D6" s="4"/>
      <c r="E6" s="20"/>
      <c r="F6" s="35"/>
      <c r="G6" s="32"/>
      <c r="H6" s="4"/>
      <c r="I6" s="4"/>
      <c r="J6" s="4"/>
      <c r="K6" s="4"/>
      <c r="L6" s="4"/>
      <c r="M6" s="4"/>
      <c r="N6" s="4"/>
      <c r="O6" s="4"/>
      <c r="P6" s="4"/>
      <c r="Q6" s="4"/>
      <c r="R6" s="4"/>
      <c r="S6" s="8"/>
      <c r="T6" s="4"/>
      <c r="U6" s="4"/>
      <c r="V6" s="4"/>
    </row>
    <row r="7" spans="1:22">
      <c r="A7" s="4"/>
      <c r="B7" s="4"/>
      <c r="C7" s="7"/>
      <c r="D7" s="7"/>
      <c r="E7" s="60"/>
      <c r="F7" s="96"/>
      <c r="G7" s="97"/>
      <c r="H7" s="7"/>
      <c r="I7" s="7"/>
      <c r="J7" s="7"/>
      <c r="K7" s="7"/>
      <c r="L7" s="7"/>
      <c r="M7" s="7"/>
      <c r="N7" s="7"/>
      <c r="O7" s="7"/>
      <c r="P7" s="7"/>
      <c r="Q7" s="7"/>
      <c r="R7" s="7"/>
      <c r="S7" s="54"/>
      <c r="T7" s="7"/>
      <c r="U7" s="7"/>
      <c r="V7" s="4"/>
    </row>
    <row r="8" spans="1:22">
      <c r="A8" s="4"/>
      <c r="B8" s="4"/>
      <c r="C8" s="7"/>
      <c r="D8" s="107" t="s">
        <v>890</v>
      </c>
      <c r="E8" s="185" t="s">
        <v>891</v>
      </c>
      <c r="F8" s="186"/>
      <c r="G8" s="187"/>
      <c r="H8" s="7"/>
      <c r="I8" s="7"/>
      <c r="J8" s="7"/>
      <c r="K8" s="83"/>
      <c r="L8" s="7"/>
      <c r="M8" s="7"/>
      <c r="N8" s="7"/>
      <c r="O8" s="7"/>
      <c r="P8" s="83"/>
      <c r="Q8" s="7"/>
      <c r="R8" s="214" t="s">
        <v>1139</v>
      </c>
      <c r="S8" s="214"/>
      <c r="T8" s="7"/>
      <c r="U8" s="7"/>
      <c r="V8" s="4"/>
    </row>
    <row r="9" spans="1:22">
      <c r="A9" s="4"/>
      <c r="B9" s="4"/>
      <c r="C9" s="7"/>
      <c r="D9" s="107" t="s">
        <v>892</v>
      </c>
      <c r="E9" s="185" t="s">
        <v>893</v>
      </c>
      <c r="F9" s="186"/>
      <c r="G9" s="187"/>
      <c r="H9" s="7"/>
      <c r="I9" s="7"/>
      <c r="J9" s="7"/>
      <c r="K9" s="7"/>
      <c r="L9" s="7"/>
      <c r="M9" s="7"/>
      <c r="N9" s="7"/>
      <c r="O9" s="7"/>
      <c r="P9" s="7"/>
      <c r="Q9" s="7"/>
      <c r="R9" s="69" t="s">
        <v>1140</v>
      </c>
      <c r="S9" s="69"/>
      <c r="T9" s="7"/>
      <c r="U9" s="7"/>
      <c r="V9" s="4"/>
    </row>
    <row r="10" spans="1:22">
      <c r="A10" s="4"/>
      <c r="B10" s="4"/>
      <c r="C10" s="7"/>
      <c r="D10" s="107" t="s">
        <v>117</v>
      </c>
      <c r="E10" s="185" t="s">
        <v>894</v>
      </c>
      <c r="F10" s="186"/>
      <c r="G10" s="187"/>
      <c r="H10" s="7"/>
      <c r="I10" s="7"/>
      <c r="J10" s="7"/>
      <c r="K10" s="7"/>
      <c r="L10" s="7"/>
      <c r="M10" s="7"/>
      <c r="N10" s="7"/>
      <c r="O10" s="7"/>
      <c r="P10" s="7"/>
      <c r="Q10" s="7"/>
      <c r="R10" s="69" t="s">
        <v>1141</v>
      </c>
      <c r="S10" s="69"/>
      <c r="T10" s="7"/>
      <c r="U10" s="7"/>
      <c r="V10" s="4"/>
    </row>
    <row r="11" spans="1:22">
      <c r="A11" s="4"/>
      <c r="B11" s="4"/>
      <c r="C11" s="7"/>
      <c r="D11" s="107" t="s">
        <v>822</v>
      </c>
      <c r="E11" s="185"/>
      <c r="F11" s="186"/>
      <c r="G11" s="187"/>
      <c r="H11" s="7"/>
      <c r="I11" s="7"/>
      <c r="J11" s="7"/>
      <c r="K11" s="7"/>
      <c r="L11" s="7"/>
      <c r="M11" s="7"/>
      <c r="N11" s="7"/>
      <c r="O11" s="7"/>
      <c r="P11" s="7"/>
      <c r="Q11" s="7"/>
      <c r="R11" s="7"/>
      <c r="S11" s="54"/>
      <c r="T11" s="7"/>
      <c r="U11" s="7"/>
      <c r="V11" s="4"/>
    </row>
    <row r="12" spans="1:22">
      <c r="A12" s="4"/>
      <c r="B12" s="4"/>
      <c r="C12" s="7"/>
      <c r="D12" s="107" t="s">
        <v>895</v>
      </c>
      <c r="E12" s="185"/>
      <c r="F12" s="186"/>
      <c r="G12" s="187"/>
      <c r="H12" s="7"/>
      <c r="I12" s="7"/>
      <c r="J12" s="7"/>
      <c r="K12" s="7"/>
      <c r="L12" s="7"/>
      <c r="M12" s="7"/>
      <c r="N12" s="7"/>
      <c r="O12" s="7"/>
      <c r="P12" s="7"/>
      <c r="Q12" s="7"/>
      <c r="R12" s="7"/>
      <c r="S12" s="54"/>
      <c r="T12" s="7"/>
      <c r="U12" s="7"/>
      <c r="V12" s="4"/>
    </row>
    <row r="13" spans="1:22">
      <c r="A13" s="4"/>
      <c r="B13" s="4"/>
      <c r="C13" s="7"/>
      <c r="D13" s="107" t="s">
        <v>896</v>
      </c>
      <c r="E13" s="185"/>
      <c r="F13" s="186"/>
      <c r="G13" s="187"/>
      <c r="H13" s="7"/>
      <c r="I13" s="7"/>
      <c r="J13" s="7"/>
      <c r="K13" s="7"/>
      <c r="L13" s="7"/>
      <c r="M13" s="7"/>
      <c r="N13" s="7"/>
      <c r="O13" s="7"/>
      <c r="P13" s="7"/>
      <c r="Q13" s="7"/>
      <c r="R13" s="7"/>
      <c r="S13" s="54"/>
      <c r="T13" s="7"/>
      <c r="U13" s="7"/>
      <c r="V13" s="4"/>
    </row>
    <row r="14" spans="1:22">
      <c r="A14" s="4"/>
      <c r="B14" s="4"/>
      <c r="C14" s="7"/>
      <c r="D14" s="107" t="s">
        <v>477</v>
      </c>
      <c r="E14" s="185"/>
      <c r="F14" s="186"/>
      <c r="G14" s="187"/>
      <c r="H14" s="7"/>
      <c r="I14" s="7"/>
      <c r="J14" s="7"/>
      <c r="K14" s="7"/>
      <c r="L14" s="7"/>
      <c r="M14" s="7"/>
      <c r="N14" s="7"/>
      <c r="O14" s="7"/>
      <c r="P14" s="7"/>
      <c r="Q14" s="7"/>
      <c r="R14" s="7"/>
      <c r="S14" s="54"/>
      <c r="T14" s="7"/>
      <c r="U14" s="7"/>
      <c r="V14" s="4"/>
    </row>
    <row r="15" spans="1:22">
      <c r="A15" s="4"/>
      <c r="B15" s="4"/>
      <c r="C15" s="7"/>
      <c r="D15" s="107" t="s">
        <v>897</v>
      </c>
      <c r="E15" s="185" t="s">
        <v>317</v>
      </c>
      <c r="F15" s="186"/>
      <c r="G15" s="187"/>
      <c r="H15" s="7"/>
      <c r="I15" s="7"/>
      <c r="J15" s="7"/>
      <c r="K15" s="7"/>
      <c r="L15" s="7"/>
      <c r="M15" s="7"/>
      <c r="N15" s="7"/>
      <c r="O15" s="7"/>
      <c r="P15" s="7"/>
      <c r="Q15" s="7"/>
      <c r="R15" s="7"/>
      <c r="S15" s="54"/>
      <c r="T15" s="7"/>
      <c r="U15" s="7"/>
      <c r="V15" s="4"/>
    </row>
    <row r="16" spans="1:22">
      <c r="A16" s="4"/>
      <c r="B16" s="4"/>
      <c r="C16" s="7"/>
      <c r="D16" s="107" t="s">
        <v>267</v>
      </c>
      <c r="E16" s="191" t="s">
        <v>328</v>
      </c>
      <c r="F16" s="215"/>
      <c r="G16" s="216"/>
      <c r="H16" s="7"/>
      <c r="I16" s="7"/>
      <c r="J16" s="7"/>
      <c r="K16" s="7"/>
      <c r="L16" s="7"/>
      <c r="M16" s="7"/>
      <c r="N16" s="7"/>
      <c r="O16" s="7"/>
      <c r="P16" s="7"/>
      <c r="Q16" s="7"/>
      <c r="R16" s="7"/>
      <c r="S16" s="54"/>
      <c r="T16" s="7"/>
      <c r="U16" s="7"/>
      <c r="V16" s="4"/>
    </row>
    <row r="17" spans="1:22">
      <c r="A17" s="4"/>
      <c r="B17" s="4"/>
      <c r="C17" s="7"/>
      <c r="D17" s="107" t="s">
        <v>898</v>
      </c>
      <c r="E17" s="653" t="s">
        <v>899</v>
      </c>
      <c r="F17" s="676"/>
      <c r="G17" s="654"/>
      <c r="H17" s="7"/>
      <c r="I17" s="7"/>
      <c r="J17" s="7"/>
      <c r="K17" s="7"/>
      <c r="L17" s="7"/>
      <c r="M17" s="7"/>
      <c r="N17" s="7"/>
      <c r="O17" s="7"/>
      <c r="P17" s="7"/>
      <c r="Q17" s="7"/>
      <c r="R17" s="7"/>
      <c r="S17" s="54"/>
      <c r="T17" s="7"/>
      <c r="U17" s="7"/>
      <c r="V17" s="4"/>
    </row>
    <row r="18" spans="1:22">
      <c r="A18" s="4"/>
      <c r="B18" s="4"/>
      <c r="C18" s="7"/>
      <c r="D18" s="107" t="s">
        <v>900</v>
      </c>
      <c r="E18" s="192">
        <v>45020</v>
      </c>
      <c r="F18" s="193"/>
      <c r="G18" s="194"/>
      <c r="H18" s="7"/>
      <c r="I18" s="7"/>
      <c r="J18" s="7"/>
      <c r="K18" s="7"/>
      <c r="L18" s="7"/>
      <c r="M18" s="7"/>
      <c r="N18" s="7"/>
      <c r="O18" s="7"/>
      <c r="P18" s="7"/>
      <c r="Q18" s="7"/>
      <c r="R18" s="7"/>
      <c r="S18" s="54"/>
      <c r="T18" s="7"/>
      <c r="U18" s="7"/>
      <c r="V18" s="4"/>
    </row>
    <row r="19" spans="1:22">
      <c r="A19" s="4"/>
      <c r="B19" s="4"/>
      <c r="C19" s="7"/>
      <c r="D19" s="107" t="s">
        <v>901</v>
      </c>
      <c r="E19" s="192">
        <v>45386</v>
      </c>
      <c r="F19" s="193"/>
      <c r="G19" s="194"/>
      <c r="H19" s="7"/>
      <c r="I19" s="7"/>
      <c r="J19" s="7"/>
      <c r="K19" s="7"/>
      <c r="L19" s="7"/>
      <c r="M19" s="7"/>
      <c r="N19" s="7"/>
      <c r="O19" s="7"/>
      <c r="P19" s="7"/>
      <c r="Q19" s="7"/>
      <c r="R19" s="7"/>
      <c r="S19" s="54"/>
      <c r="T19" s="7"/>
      <c r="U19" s="7"/>
      <c r="V19" s="4"/>
    </row>
    <row r="20" spans="1:22">
      <c r="A20" s="4"/>
      <c r="B20" s="4"/>
      <c r="C20" s="7"/>
      <c r="D20" s="107" t="s">
        <v>902</v>
      </c>
      <c r="E20" s="188">
        <v>43160</v>
      </c>
      <c r="F20" s="189"/>
      <c r="G20" s="190"/>
      <c r="H20" s="7"/>
      <c r="I20" s="7"/>
      <c r="J20" s="7"/>
      <c r="K20" s="7"/>
      <c r="L20" s="7"/>
      <c r="M20" s="7"/>
      <c r="N20" s="7"/>
      <c r="O20" s="7"/>
      <c r="P20" s="7"/>
      <c r="Q20" s="7"/>
      <c r="R20" s="7"/>
      <c r="S20" s="54"/>
      <c r="T20" s="7"/>
      <c r="U20" s="7"/>
      <c r="V20" s="4"/>
    </row>
    <row r="21" spans="1:22">
      <c r="A21" s="4"/>
      <c r="B21" s="4"/>
      <c r="C21" s="7"/>
      <c r="D21" s="107" t="s">
        <v>903</v>
      </c>
      <c r="E21" s="188" t="s">
        <v>904</v>
      </c>
      <c r="F21" s="189"/>
      <c r="G21" s="190"/>
      <c r="H21" s="7"/>
      <c r="I21" s="7"/>
      <c r="J21" s="7"/>
      <c r="K21" s="7"/>
      <c r="L21" s="7"/>
      <c r="M21" s="7"/>
      <c r="N21" s="7"/>
      <c r="O21" s="7"/>
      <c r="P21" s="7"/>
      <c r="Q21" s="7"/>
      <c r="R21" s="7"/>
      <c r="S21" s="54"/>
      <c r="T21" s="7"/>
      <c r="U21" s="7"/>
      <c r="V21" s="4"/>
    </row>
    <row r="22" spans="1:22">
      <c r="A22" s="4"/>
      <c r="B22" s="4"/>
      <c r="C22" s="7"/>
      <c r="D22" s="107" t="s">
        <v>905</v>
      </c>
      <c r="E22" s="188" t="s">
        <v>906</v>
      </c>
      <c r="F22" s="189"/>
      <c r="G22" s="190"/>
      <c r="H22" s="7"/>
      <c r="I22" s="7"/>
      <c r="J22" s="7"/>
      <c r="K22" s="7"/>
      <c r="L22" s="7"/>
      <c r="M22" s="7"/>
      <c r="N22" s="7"/>
      <c r="O22" s="7"/>
      <c r="P22" s="7"/>
      <c r="Q22" s="7"/>
      <c r="R22" s="7"/>
      <c r="S22" s="54"/>
      <c r="T22" s="7"/>
      <c r="U22" s="7"/>
      <c r="V22" s="4"/>
    </row>
    <row r="23" spans="1:22">
      <c r="A23" s="4"/>
      <c r="B23" s="4"/>
      <c r="C23" s="7"/>
      <c r="D23" s="108" t="s">
        <v>907</v>
      </c>
      <c r="E23" s="184" t="s">
        <v>908</v>
      </c>
      <c r="F23" s="217"/>
      <c r="G23" s="218"/>
      <c r="H23" s="7"/>
      <c r="I23" s="7"/>
      <c r="J23" s="7"/>
      <c r="K23" s="7"/>
      <c r="L23" s="7"/>
      <c r="M23" s="7"/>
      <c r="N23" s="7"/>
      <c r="O23" s="7"/>
      <c r="P23" s="7"/>
      <c r="Q23" s="7"/>
      <c r="R23" s="7"/>
      <c r="S23" s="54"/>
      <c r="T23" s="7"/>
      <c r="U23" s="7"/>
      <c r="V23" s="4"/>
    </row>
    <row r="24" spans="1:22">
      <c r="A24" s="4"/>
      <c r="B24" s="4"/>
      <c r="C24" s="7"/>
      <c r="D24" s="87"/>
      <c r="E24" s="67"/>
      <c r="F24" s="67"/>
      <c r="G24" s="67"/>
      <c r="H24" s="7"/>
      <c r="I24" s="7"/>
      <c r="J24" s="7"/>
      <c r="K24" s="7"/>
      <c r="L24" s="7"/>
      <c r="M24" s="7"/>
      <c r="N24" s="7"/>
      <c r="O24" s="7"/>
      <c r="P24" s="7"/>
      <c r="Q24" s="7"/>
      <c r="R24" s="7"/>
      <c r="S24" s="54"/>
      <c r="T24" s="7"/>
      <c r="U24" s="7"/>
      <c r="V24" s="4"/>
    </row>
    <row r="25" spans="1:22">
      <c r="A25" s="4"/>
      <c r="B25" s="4"/>
      <c r="C25" s="7"/>
      <c r="D25" s="87"/>
      <c r="E25" s="67"/>
      <c r="F25" s="67"/>
      <c r="G25" s="67"/>
      <c r="H25" s="7"/>
      <c r="I25" s="7"/>
      <c r="J25" s="7"/>
      <c r="K25" s="7"/>
      <c r="L25" s="7"/>
      <c r="M25" s="7"/>
      <c r="N25" s="7"/>
      <c r="O25" s="7"/>
      <c r="P25" s="7"/>
      <c r="Q25" s="7"/>
      <c r="R25" s="7"/>
      <c r="S25" s="54"/>
      <c r="T25" s="7"/>
      <c r="U25" s="7"/>
      <c r="V25" s="4"/>
    </row>
    <row r="26" spans="1:22">
      <c r="A26" s="4"/>
      <c r="B26" s="4"/>
      <c r="C26" s="7"/>
      <c r="D26" s="87"/>
      <c r="E26" s="67"/>
      <c r="F26" s="67"/>
      <c r="G26" s="67"/>
      <c r="H26" s="7"/>
      <c r="I26" s="7"/>
      <c r="J26" s="7"/>
      <c r="K26" s="7"/>
      <c r="L26" s="7"/>
      <c r="M26" s="7"/>
      <c r="N26" s="7"/>
      <c r="O26" s="7"/>
      <c r="P26" s="7"/>
      <c r="Q26" s="7"/>
      <c r="R26" s="7"/>
      <c r="S26" s="54"/>
      <c r="T26" s="7"/>
      <c r="U26" s="7"/>
      <c r="V26" s="4"/>
    </row>
    <row r="27" spans="1:22">
      <c r="A27" s="4"/>
      <c r="B27" s="4"/>
      <c r="C27" s="7"/>
      <c r="D27" s="87"/>
      <c r="E27" s="67"/>
      <c r="F27" s="67"/>
      <c r="G27" s="67"/>
      <c r="H27" s="7"/>
      <c r="I27" s="7"/>
      <c r="J27" s="7"/>
      <c r="K27" s="7"/>
      <c r="L27" s="7"/>
      <c r="M27" s="7"/>
      <c r="N27" s="7"/>
      <c r="O27" s="7"/>
      <c r="P27" s="7"/>
      <c r="Q27" s="7"/>
      <c r="R27" s="7"/>
      <c r="S27" s="54"/>
      <c r="T27" s="7"/>
      <c r="U27" s="7"/>
      <c r="V27" s="4"/>
    </row>
    <row r="28" spans="1:22">
      <c r="A28" s="4"/>
      <c r="B28" s="4"/>
      <c r="C28" s="7"/>
      <c r="D28" s="87"/>
      <c r="E28" s="67"/>
      <c r="F28" s="67"/>
      <c r="G28" s="67"/>
      <c r="H28" s="7"/>
      <c r="I28" s="7"/>
      <c r="J28" s="7"/>
      <c r="K28" s="7"/>
      <c r="L28" s="7"/>
      <c r="M28" s="7"/>
      <c r="N28" s="7"/>
      <c r="O28" s="7"/>
      <c r="P28" s="7"/>
      <c r="Q28" s="7"/>
      <c r="R28" s="7"/>
      <c r="S28" s="54"/>
      <c r="T28" s="7"/>
      <c r="U28" s="7"/>
      <c r="V28" s="4"/>
    </row>
    <row r="29" spans="1:22">
      <c r="A29" s="4"/>
      <c r="B29" s="4"/>
      <c r="C29" s="7"/>
      <c r="D29" s="87"/>
      <c r="E29" s="67"/>
      <c r="F29" s="67"/>
      <c r="G29" s="67"/>
      <c r="H29" s="7"/>
      <c r="I29" s="7"/>
      <c r="J29" s="7"/>
      <c r="K29" s="7"/>
      <c r="L29" s="7"/>
      <c r="M29" s="7"/>
      <c r="N29" s="7"/>
      <c r="O29" s="7"/>
      <c r="P29" s="7"/>
      <c r="Q29" s="7"/>
      <c r="R29" s="7"/>
      <c r="S29" s="54"/>
      <c r="T29" s="7"/>
      <c r="U29" s="7"/>
      <c r="V29" s="4"/>
    </row>
    <row r="30" spans="1:22">
      <c r="A30" s="4"/>
      <c r="B30" s="4"/>
      <c r="C30" s="7"/>
      <c r="D30" s="87"/>
      <c r="E30" s="67"/>
      <c r="F30" s="67"/>
      <c r="G30" s="67"/>
      <c r="H30" s="7"/>
      <c r="I30" s="7"/>
      <c r="J30" s="7"/>
      <c r="K30" s="7"/>
      <c r="L30" s="7"/>
      <c r="M30" s="7"/>
      <c r="N30" s="7"/>
      <c r="O30" s="7"/>
      <c r="P30" s="7"/>
      <c r="Q30" s="7"/>
      <c r="R30" s="7"/>
      <c r="S30" s="54"/>
      <c r="T30" s="7"/>
      <c r="U30" s="7"/>
      <c r="V30" s="4"/>
    </row>
    <row r="31" spans="1:22">
      <c r="A31" s="4"/>
      <c r="B31" s="4"/>
      <c r="C31" s="7"/>
      <c r="D31" s="87"/>
      <c r="E31" s="67"/>
      <c r="F31" s="67"/>
      <c r="G31" s="67"/>
      <c r="H31" s="7"/>
      <c r="I31" s="7"/>
      <c r="J31" s="7"/>
      <c r="K31" s="7"/>
      <c r="L31" s="7"/>
      <c r="M31" s="7"/>
      <c r="N31" s="7"/>
      <c r="O31" s="7"/>
      <c r="P31" s="7"/>
      <c r="Q31" s="7"/>
      <c r="R31" s="7"/>
      <c r="S31" s="54"/>
      <c r="T31" s="7"/>
      <c r="U31" s="7"/>
      <c r="V31" s="4"/>
    </row>
    <row r="32" spans="1:22">
      <c r="A32" s="4"/>
      <c r="B32" s="4"/>
      <c r="C32" s="7"/>
      <c r="D32" s="87"/>
      <c r="E32" s="67"/>
      <c r="F32" s="67"/>
      <c r="G32" s="67"/>
      <c r="H32" s="7"/>
      <c r="I32" s="7"/>
      <c r="J32" s="7"/>
      <c r="K32" s="7"/>
      <c r="L32" s="7"/>
      <c r="M32" s="7"/>
      <c r="N32" s="7"/>
      <c r="O32" s="7"/>
      <c r="P32" s="7"/>
      <c r="Q32" s="7"/>
      <c r="R32" s="7"/>
      <c r="S32" s="54"/>
      <c r="T32" s="7"/>
      <c r="U32" s="7"/>
      <c r="V32" s="4"/>
    </row>
    <row r="33" spans="1:22">
      <c r="A33" s="4"/>
      <c r="B33" s="4"/>
      <c r="C33" s="7"/>
      <c r="D33" s="87"/>
      <c r="E33" s="67"/>
      <c r="F33" s="67"/>
      <c r="G33" s="67"/>
      <c r="H33" s="7"/>
      <c r="I33" s="7"/>
      <c r="J33" s="7"/>
      <c r="K33" s="7"/>
      <c r="L33" s="7"/>
      <c r="M33" s="7"/>
      <c r="N33" s="7"/>
      <c r="O33" s="7"/>
      <c r="P33" s="7"/>
      <c r="Q33" s="7"/>
      <c r="R33" s="7"/>
      <c r="S33" s="54"/>
      <c r="T33" s="7"/>
      <c r="U33" s="7"/>
      <c r="V33" s="4"/>
    </row>
    <row r="34" spans="1:22">
      <c r="A34" s="4"/>
      <c r="B34" s="4"/>
      <c r="C34" s="7"/>
      <c r="D34" s="87"/>
      <c r="E34" s="67"/>
      <c r="F34" s="67"/>
      <c r="G34" s="67"/>
      <c r="H34" s="7"/>
      <c r="I34" s="7"/>
      <c r="J34" s="7"/>
      <c r="K34" s="7"/>
      <c r="L34" s="7"/>
      <c r="M34" s="7"/>
      <c r="N34" s="7"/>
      <c r="O34" s="7"/>
      <c r="P34" s="7"/>
      <c r="Q34" s="7"/>
      <c r="R34" s="7"/>
      <c r="S34" s="54"/>
      <c r="T34" s="7"/>
      <c r="U34" s="7"/>
      <c r="V34" s="4"/>
    </row>
    <row r="35" spans="1:22">
      <c r="A35" s="4"/>
      <c r="B35" s="4"/>
      <c r="C35" s="7"/>
      <c r="D35" s="87"/>
      <c r="E35" s="67"/>
      <c r="F35" s="67"/>
      <c r="G35" s="67"/>
      <c r="H35" s="7"/>
      <c r="I35" s="7"/>
      <c r="J35" s="7"/>
      <c r="K35" s="7"/>
      <c r="L35" s="7"/>
      <c r="M35" s="7"/>
      <c r="N35" s="7"/>
      <c r="O35" s="7"/>
      <c r="P35" s="7"/>
      <c r="Q35" s="7"/>
      <c r="R35" s="7"/>
      <c r="S35" s="54"/>
      <c r="T35" s="7"/>
      <c r="U35" s="7"/>
      <c r="V35" s="4"/>
    </row>
    <row r="36" spans="1:22">
      <c r="A36" s="4"/>
      <c r="B36" s="4"/>
      <c r="C36" s="7"/>
      <c r="D36" s="7"/>
      <c r="E36" s="87"/>
      <c r="F36" s="70"/>
      <c r="G36" s="7"/>
      <c r="H36" s="7"/>
      <c r="I36" s="7"/>
      <c r="J36" s="7"/>
      <c r="K36" s="7"/>
      <c r="L36" s="7"/>
      <c r="M36" s="7"/>
      <c r="N36" s="7"/>
      <c r="O36" s="7"/>
      <c r="P36" s="7"/>
      <c r="Q36" s="7"/>
      <c r="R36" s="7"/>
      <c r="S36" s="54"/>
      <c r="T36" s="7"/>
      <c r="U36" s="7"/>
      <c r="V36" s="4"/>
    </row>
    <row r="37" spans="1:22">
      <c r="A37" s="4"/>
      <c r="B37" s="4"/>
      <c r="C37" s="7"/>
      <c r="D37" s="7"/>
      <c r="E37" s="87"/>
      <c r="F37" s="70"/>
      <c r="G37" s="7"/>
      <c r="H37" s="7"/>
      <c r="I37" s="7"/>
      <c r="J37" s="7"/>
      <c r="K37" s="7"/>
      <c r="L37" s="7"/>
      <c r="M37" s="7"/>
      <c r="N37" s="7"/>
      <c r="O37" s="7"/>
      <c r="P37" s="7"/>
      <c r="Q37" s="7"/>
      <c r="R37" s="7"/>
      <c r="S37" s="54"/>
      <c r="T37" s="7"/>
      <c r="U37" s="7"/>
      <c r="V37" s="4"/>
    </row>
    <row r="38" spans="1:22">
      <c r="A38" s="4"/>
      <c r="B38" s="4"/>
      <c r="C38" s="4"/>
      <c r="D38" s="4"/>
      <c r="E38" s="4"/>
      <c r="F38" s="4"/>
      <c r="G38" s="4"/>
      <c r="H38" s="4"/>
      <c r="I38" s="4"/>
      <c r="J38" s="4"/>
      <c r="K38" s="4"/>
      <c r="L38" s="4"/>
      <c r="M38" s="4"/>
      <c r="N38" s="4"/>
      <c r="O38" s="4"/>
      <c r="P38" s="4"/>
      <c r="Q38" s="4"/>
      <c r="R38" s="4"/>
      <c r="S38" s="8"/>
      <c r="T38" s="4"/>
      <c r="U38" s="4"/>
      <c r="V38" s="4"/>
    </row>
    <row r="39" spans="1:22" ht="18.600000000000001">
      <c r="A39" s="4"/>
      <c r="B39" s="4"/>
      <c r="C39" s="102" t="s">
        <v>1142</v>
      </c>
      <c r="D39" s="102"/>
      <c r="E39" s="101"/>
      <c r="F39" s="101"/>
      <c r="G39" s="101"/>
      <c r="H39" s="101"/>
      <c r="I39" s="101"/>
      <c r="J39" s="101"/>
      <c r="K39" s="101"/>
      <c r="L39" s="101"/>
      <c r="M39" s="101"/>
      <c r="N39" s="101"/>
      <c r="O39" s="101"/>
      <c r="P39" s="4"/>
      <c r="Q39" s="101"/>
      <c r="R39" s="102"/>
      <c r="S39" s="103"/>
      <c r="T39" s="101"/>
      <c r="U39" s="101"/>
      <c r="V39" s="101"/>
    </row>
    <row r="40" spans="1:22" outlineLevel="1">
      <c r="A40" s="4"/>
      <c r="B40" s="4"/>
      <c r="C40" s="4"/>
      <c r="D40" s="4"/>
      <c r="E40" s="4"/>
      <c r="F40" s="4"/>
      <c r="G40" s="4"/>
      <c r="H40" s="4"/>
      <c r="I40" s="4"/>
      <c r="J40" s="4"/>
      <c r="K40" s="4"/>
      <c r="L40" s="4"/>
      <c r="M40" s="4"/>
      <c r="N40" s="4"/>
      <c r="O40" s="4"/>
      <c r="P40" s="4"/>
      <c r="Q40" s="4"/>
      <c r="R40" s="4"/>
      <c r="S40" s="8"/>
      <c r="T40" s="4"/>
      <c r="U40" s="4"/>
      <c r="V40" s="4"/>
    </row>
    <row r="41" spans="1:22" ht="13.7" customHeight="1" outlineLevel="1">
      <c r="A41" s="4"/>
      <c r="B41" s="4"/>
      <c r="C41" s="7"/>
      <c r="D41" s="7" t="s">
        <v>1131</v>
      </c>
      <c r="E41" s="7"/>
      <c r="F41" s="7"/>
      <c r="G41" s="7"/>
      <c r="H41" s="7"/>
      <c r="I41" s="7"/>
      <c r="J41" s="7"/>
      <c r="K41" s="7"/>
      <c r="L41" s="7"/>
      <c r="M41" s="7"/>
      <c r="N41" s="7"/>
      <c r="O41" s="7"/>
      <c r="P41" s="7"/>
      <c r="Q41" s="7"/>
      <c r="R41" s="7"/>
      <c r="S41" s="7"/>
      <c r="T41" s="7"/>
      <c r="U41" s="7"/>
      <c r="V41" s="4"/>
    </row>
    <row r="42" spans="1:22" outlineLevel="1">
      <c r="A42" s="4"/>
      <c r="B42" s="4"/>
      <c r="C42" s="7"/>
      <c r="D42" s="7" t="s">
        <v>1143</v>
      </c>
      <c r="E42" s="7"/>
      <c r="F42" s="7"/>
      <c r="G42" s="7"/>
      <c r="H42" s="7"/>
      <c r="I42" s="7"/>
      <c r="J42" s="7"/>
      <c r="K42" s="7"/>
      <c r="L42" s="7"/>
      <c r="M42" s="7"/>
      <c r="N42" s="7"/>
      <c r="O42" s="7"/>
      <c r="P42" s="7"/>
      <c r="Q42" s="7"/>
      <c r="R42" s="7"/>
      <c r="S42" s="7"/>
      <c r="T42" s="7"/>
      <c r="U42" s="7"/>
      <c r="V42" s="4"/>
    </row>
    <row r="43" spans="1:22" ht="14.45" customHeight="1" outlineLevel="1">
      <c r="A43" s="4"/>
      <c r="B43" s="4"/>
      <c r="C43" s="7"/>
      <c r="D43" s="179" t="s">
        <v>1144</v>
      </c>
      <c r="E43" s="179"/>
      <c r="F43" s="179"/>
      <c r="G43" s="179"/>
      <c r="H43" s="179"/>
      <c r="I43" s="179"/>
      <c r="J43" s="179"/>
      <c r="K43" s="179"/>
      <c r="L43" s="179"/>
      <c r="M43" s="179"/>
      <c r="N43" s="179"/>
      <c r="O43" s="179"/>
      <c r="P43" s="179"/>
      <c r="Q43" s="7"/>
      <c r="R43" s="7"/>
      <c r="S43" s="7"/>
      <c r="T43" s="7"/>
      <c r="U43" s="7"/>
      <c r="V43" s="4"/>
    </row>
    <row r="44" spans="1:22" ht="14.45" customHeight="1" outlineLevel="1">
      <c r="A44" s="4"/>
      <c r="B44" s="4"/>
      <c r="C44" s="7"/>
      <c r="D44" s="179" t="s">
        <v>1145</v>
      </c>
      <c r="E44" s="179"/>
      <c r="F44" s="179"/>
      <c r="G44" s="179"/>
      <c r="H44" s="179"/>
      <c r="I44" s="179"/>
      <c r="J44" s="179"/>
      <c r="K44" s="179"/>
      <c r="L44" s="179"/>
      <c r="M44" s="179"/>
      <c r="N44" s="179"/>
      <c r="O44" s="179"/>
      <c r="P44" s="179"/>
      <c r="Q44" s="7"/>
      <c r="R44" s="7"/>
      <c r="S44" s="7"/>
      <c r="T44" s="7"/>
      <c r="U44" s="7"/>
      <c r="V44" s="4"/>
    </row>
    <row r="45" spans="1:22" ht="14.45" customHeight="1" outlineLevel="1">
      <c r="A45" s="4"/>
      <c r="B45" s="4"/>
      <c r="C45" s="7"/>
      <c r="D45" s="179" t="s">
        <v>1146</v>
      </c>
      <c r="E45" s="179"/>
      <c r="F45" s="179"/>
      <c r="G45" s="179"/>
      <c r="H45" s="179"/>
      <c r="I45" s="179"/>
      <c r="J45" s="179"/>
      <c r="K45" s="179"/>
      <c r="L45" s="179"/>
      <c r="M45" s="179"/>
      <c r="N45" s="179"/>
      <c r="O45" s="179"/>
      <c r="P45" s="179"/>
      <c r="Q45" s="7"/>
      <c r="R45" s="7"/>
      <c r="S45" s="7"/>
      <c r="T45" s="7"/>
      <c r="U45" s="7"/>
      <c r="V45" s="4"/>
    </row>
    <row r="46" spans="1:22" ht="14.45" customHeight="1" outlineLevel="1">
      <c r="A46" s="4"/>
      <c r="B46" s="4"/>
      <c r="C46" s="7"/>
      <c r="D46" s="180" t="s">
        <v>1147</v>
      </c>
      <c r="E46" s="179"/>
      <c r="F46" s="179"/>
      <c r="G46" s="179"/>
      <c r="H46" s="179"/>
      <c r="I46" s="179"/>
      <c r="J46" s="179"/>
      <c r="K46" s="179"/>
      <c r="L46" s="179"/>
      <c r="M46" s="179"/>
      <c r="N46" s="179"/>
      <c r="O46" s="179"/>
      <c r="P46" s="179"/>
      <c r="Q46" s="7"/>
      <c r="R46" s="7"/>
      <c r="S46" s="7"/>
      <c r="T46" s="7"/>
      <c r="U46" s="7"/>
      <c r="V46" s="4"/>
    </row>
    <row r="47" spans="1:22" ht="14.45" customHeight="1" outlineLevel="1">
      <c r="A47" s="4"/>
      <c r="B47" s="4"/>
      <c r="C47" s="7"/>
      <c r="D47" s="179" t="s">
        <v>1148</v>
      </c>
      <c r="E47" s="179"/>
      <c r="F47" s="179"/>
      <c r="G47" s="179"/>
      <c r="H47" s="179"/>
      <c r="I47" s="179"/>
      <c r="J47" s="179"/>
      <c r="K47" s="179"/>
      <c r="L47" s="179"/>
      <c r="M47" s="179"/>
      <c r="N47" s="179"/>
      <c r="O47" s="179"/>
      <c r="P47" s="179"/>
      <c r="Q47" s="7"/>
      <c r="R47" s="7"/>
      <c r="S47" s="7"/>
      <c r="T47" s="7"/>
      <c r="U47" s="7"/>
      <c r="V47" s="4"/>
    </row>
    <row r="48" spans="1:22" ht="14.45" customHeight="1" outlineLevel="1">
      <c r="A48" s="4"/>
      <c r="B48" s="4"/>
      <c r="C48" s="7"/>
      <c r="D48" s="7" t="s">
        <v>1149</v>
      </c>
      <c r="E48" s="7"/>
      <c r="F48" s="7"/>
      <c r="G48" s="7"/>
      <c r="H48" s="7"/>
      <c r="I48" s="7"/>
      <c r="J48" s="7"/>
      <c r="K48" s="7"/>
      <c r="L48" s="7"/>
      <c r="M48" s="7"/>
      <c r="N48" s="7"/>
      <c r="O48" s="7"/>
      <c r="P48" s="7"/>
      <c r="Q48" s="7"/>
      <c r="R48" s="7"/>
      <c r="S48" s="7"/>
      <c r="T48" s="7"/>
      <c r="U48" s="7"/>
      <c r="V48" s="4"/>
    </row>
    <row r="49" spans="1:22" ht="14.45" customHeight="1" outlineLevel="1">
      <c r="A49" s="4"/>
      <c r="B49" s="4"/>
      <c r="C49" s="7"/>
      <c r="D49" s="180" t="s">
        <v>1150</v>
      </c>
      <c r="E49" s="180"/>
      <c r="F49" s="180"/>
      <c r="G49" s="180"/>
      <c r="H49" s="180"/>
      <c r="I49" s="180"/>
      <c r="J49" s="180"/>
      <c r="K49" s="180"/>
      <c r="L49" s="180"/>
      <c r="M49" s="180"/>
      <c r="N49" s="180"/>
      <c r="O49" s="180"/>
      <c r="P49" s="180"/>
      <c r="Q49" s="7"/>
      <c r="R49" s="7"/>
      <c r="S49" s="7"/>
      <c r="T49" s="7"/>
      <c r="U49" s="7"/>
      <c r="V49" s="4"/>
    </row>
    <row r="50" spans="1:22" ht="14.45" customHeight="1" outlineLevel="1">
      <c r="A50" s="4"/>
      <c r="B50" s="4"/>
      <c r="C50" s="7"/>
      <c r="D50" s="93" t="s">
        <v>1151</v>
      </c>
      <c r="E50" s="93"/>
      <c r="F50" s="93"/>
      <c r="G50" s="93"/>
      <c r="H50" s="93"/>
      <c r="I50" s="93"/>
      <c r="J50" s="93"/>
      <c r="K50" s="93"/>
      <c r="L50" s="93"/>
      <c r="M50" s="93"/>
      <c r="N50" s="93"/>
      <c r="O50" s="93"/>
      <c r="P50" s="93"/>
      <c r="Q50" s="7"/>
      <c r="R50" s="7"/>
      <c r="S50" s="7"/>
      <c r="T50" s="7"/>
      <c r="U50" s="7"/>
      <c r="V50" s="4"/>
    </row>
    <row r="51" spans="1:22" ht="14.45" customHeight="1" outlineLevel="1">
      <c r="A51" s="4"/>
      <c r="B51" s="4"/>
      <c r="C51" s="7"/>
      <c r="D51" s="179" t="s">
        <v>1152</v>
      </c>
      <c r="E51" s="179"/>
      <c r="F51" s="179"/>
      <c r="G51" s="179"/>
      <c r="H51" s="179"/>
      <c r="I51" s="179"/>
      <c r="J51" s="179"/>
      <c r="K51" s="179"/>
      <c r="L51" s="179"/>
      <c r="M51" s="179"/>
      <c r="N51" s="179"/>
      <c r="O51" s="179"/>
      <c r="P51" s="179"/>
      <c r="Q51" s="7"/>
      <c r="R51" s="7"/>
      <c r="S51" s="7"/>
      <c r="T51" s="7"/>
      <c r="U51" s="7"/>
      <c r="V51" s="4"/>
    </row>
    <row r="52" spans="1:22" ht="14.45" customHeight="1" outlineLevel="1">
      <c r="A52" s="4"/>
      <c r="B52" s="4"/>
      <c r="C52" s="7"/>
      <c r="D52" s="179" t="s">
        <v>1153</v>
      </c>
      <c r="E52" s="179"/>
      <c r="F52" s="179"/>
      <c r="G52" s="179"/>
      <c r="H52" s="179"/>
      <c r="I52" s="179"/>
      <c r="J52" s="179"/>
      <c r="K52" s="179"/>
      <c r="L52" s="179"/>
      <c r="M52" s="179"/>
      <c r="N52" s="179"/>
      <c r="O52" s="179"/>
      <c r="P52" s="179"/>
      <c r="Q52" s="7"/>
      <c r="R52" s="7"/>
      <c r="S52" s="7"/>
      <c r="T52" s="7"/>
      <c r="U52" s="7"/>
      <c r="V52" s="4"/>
    </row>
    <row r="53" spans="1:22" ht="14.45" customHeight="1" outlineLevel="1">
      <c r="A53" s="4"/>
      <c r="B53" s="4"/>
      <c r="C53" s="7"/>
      <c r="D53" s="179" t="s">
        <v>1154</v>
      </c>
      <c r="E53" s="179"/>
      <c r="F53" s="179"/>
      <c r="G53" s="179"/>
      <c r="H53" s="179"/>
      <c r="I53" s="179"/>
      <c r="J53" s="179"/>
      <c r="K53" s="179"/>
      <c r="L53" s="179"/>
      <c r="M53" s="179"/>
      <c r="N53" s="179"/>
      <c r="O53" s="179"/>
      <c r="P53" s="179"/>
      <c r="Q53" s="7"/>
      <c r="R53" s="7"/>
      <c r="S53" s="7"/>
      <c r="T53" s="7"/>
      <c r="U53" s="7"/>
      <c r="V53" s="4"/>
    </row>
    <row r="54" spans="1:22" ht="14.45" customHeight="1" outlineLevel="1">
      <c r="A54" s="4"/>
      <c r="B54" s="4"/>
      <c r="C54" s="7"/>
      <c r="D54" s="179" t="s">
        <v>1155</v>
      </c>
      <c r="E54" s="179"/>
      <c r="F54" s="179"/>
      <c r="G54" s="179"/>
      <c r="H54" s="179"/>
      <c r="I54" s="179"/>
      <c r="J54" s="179"/>
      <c r="K54" s="179"/>
      <c r="L54" s="179"/>
      <c r="M54" s="179"/>
      <c r="N54" s="179"/>
      <c r="O54" s="179"/>
      <c r="P54" s="179"/>
      <c r="Q54" s="7"/>
      <c r="R54" s="7"/>
      <c r="S54" s="7"/>
      <c r="T54" s="7"/>
      <c r="U54" s="7"/>
      <c r="V54" s="4"/>
    </row>
    <row r="55" spans="1:22" ht="14.45" customHeight="1" outlineLevel="1">
      <c r="A55" s="4"/>
      <c r="B55" s="4"/>
      <c r="C55" s="7"/>
      <c r="D55" s="179" t="s">
        <v>1156</v>
      </c>
      <c r="E55" s="179"/>
      <c r="F55" s="179"/>
      <c r="G55" s="179"/>
      <c r="H55" s="179"/>
      <c r="I55" s="179"/>
      <c r="J55" s="179"/>
      <c r="K55" s="179"/>
      <c r="L55" s="179"/>
      <c r="M55" s="179"/>
      <c r="N55" s="179"/>
      <c r="O55" s="179"/>
      <c r="P55" s="179"/>
      <c r="Q55" s="7"/>
      <c r="R55" s="7"/>
      <c r="S55" s="7"/>
      <c r="T55" s="7"/>
      <c r="U55" s="7"/>
      <c r="V55" s="4"/>
    </row>
    <row r="56" spans="1:22" ht="14.45" customHeight="1" outlineLevel="1">
      <c r="A56" s="4"/>
      <c r="B56" s="4"/>
      <c r="C56" s="7"/>
      <c r="D56" s="93" t="s">
        <v>1157</v>
      </c>
      <c r="E56" s="93"/>
      <c r="F56" s="93"/>
      <c r="G56" s="93"/>
      <c r="H56" s="93"/>
      <c r="I56" s="93"/>
      <c r="J56" s="93"/>
      <c r="K56" s="93"/>
      <c r="L56" s="93"/>
      <c r="M56" s="93"/>
      <c r="N56" s="93"/>
      <c r="O56" s="93"/>
      <c r="P56" s="93"/>
      <c r="Q56" s="61"/>
      <c r="R56" s="61"/>
      <c r="S56" s="61"/>
      <c r="T56" s="61"/>
      <c r="U56" s="61"/>
      <c r="V56" s="100"/>
    </row>
    <row r="57" spans="1:22" ht="14.45" customHeight="1" outlineLevel="1">
      <c r="A57" s="4"/>
      <c r="B57" s="4"/>
      <c r="C57" s="7"/>
      <c r="D57" s="93" t="s">
        <v>1158</v>
      </c>
      <c r="E57" s="93"/>
      <c r="F57" s="93"/>
      <c r="G57" s="93"/>
      <c r="H57" s="93"/>
      <c r="I57" s="93"/>
      <c r="J57" s="93"/>
      <c r="K57" s="93"/>
      <c r="L57" s="93"/>
      <c r="M57" s="93"/>
      <c r="N57" s="93"/>
      <c r="O57" s="93"/>
      <c r="P57" s="93"/>
      <c r="Q57" s="61"/>
      <c r="R57" s="61"/>
      <c r="S57" s="61"/>
      <c r="T57" s="61"/>
      <c r="U57" s="61"/>
      <c r="V57" s="100"/>
    </row>
    <row r="58" spans="1:22" ht="14.45" customHeight="1" outlineLevel="1">
      <c r="A58" s="4"/>
      <c r="B58" s="4"/>
      <c r="C58" s="7"/>
      <c r="D58" s="93" t="s">
        <v>1159</v>
      </c>
      <c r="E58" s="93"/>
      <c r="F58" s="93"/>
      <c r="G58" s="93"/>
      <c r="H58" s="93"/>
      <c r="I58" s="93"/>
      <c r="J58" s="93"/>
      <c r="K58" s="93"/>
      <c r="L58" s="93"/>
      <c r="M58" s="93"/>
      <c r="N58" s="93"/>
      <c r="O58" s="93"/>
      <c r="P58" s="93"/>
      <c r="Q58" s="61"/>
      <c r="R58" s="61"/>
      <c r="S58" s="61"/>
      <c r="T58" s="61"/>
      <c r="U58" s="61"/>
      <c r="V58" s="100"/>
    </row>
    <row r="59" spans="1:22" outlineLevel="1">
      <c r="A59" s="4"/>
      <c r="B59" s="4"/>
      <c r="C59" s="7"/>
      <c r="D59" s="7"/>
      <c r="E59" s="7"/>
      <c r="F59" s="7"/>
      <c r="G59" s="7"/>
      <c r="H59" s="7"/>
      <c r="I59" s="7"/>
      <c r="J59" s="7"/>
      <c r="K59" s="7"/>
      <c r="L59" s="7"/>
      <c r="M59" s="7"/>
      <c r="N59" s="7"/>
      <c r="O59" s="7"/>
      <c r="P59" s="7"/>
      <c r="Q59" s="61"/>
      <c r="R59" s="61"/>
      <c r="S59" s="61"/>
      <c r="T59" s="61"/>
      <c r="U59" s="61"/>
      <c r="V59" s="100"/>
    </row>
    <row r="60" spans="1:22" outlineLevel="1">
      <c r="A60" s="4"/>
      <c r="B60" s="4"/>
      <c r="C60" s="4"/>
      <c r="D60" s="4"/>
      <c r="E60" s="71"/>
      <c r="F60" s="4"/>
      <c r="G60" s="4"/>
      <c r="H60" s="4"/>
      <c r="I60" s="4"/>
      <c r="J60" s="4"/>
      <c r="K60" s="4"/>
      <c r="L60" s="4"/>
      <c r="M60" s="4"/>
      <c r="N60" s="4"/>
      <c r="O60" s="4"/>
      <c r="P60" s="100"/>
      <c r="Q60" s="100"/>
      <c r="R60" s="100"/>
      <c r="S60" s="105"/>
      <c r="T60" s="100"/>
      <c r="U60" s="100"/>
      <c r="V60" s="100"/>
    </row>
    <row r="61" spans="1:22" ht="15" outlineLevel="1" thickBot="1">
      <c r="A61" s="4"/>
      <c r="B61" s="4"/>
      <c r="C61" s="7"/>
      <c r="D61" s="7"/>
      <c r="E61" s="66"/>
      <c r="F61" s="7"/>
      <c r="G61" s="7"/>
      <c r="H61" s="7"/>
      <c r="I61" s="7"/>
      <c r="J61" s="7"/>
      <c r="K61" s="7"/>
      <c r="L61" s="7"/>
      <c r="M61" s="7"/>
      <c r="N61" s="7"/>
      <c r="O61" s="7"/>
      <c r="P61" s="61"/>
      <c r="Q61" s="61"/>
      <c r="R61" s="61"/>
      <c r="S61" s="104"/>
      <c r="T61" s="61"/>
      <c r="U61" s="61"/>
      <c r="V61" s="100"/>
    </row>
    <row r="62" spans="1:22" ht="15" outlineLevel="1" thickBot="1">
      <c r="A62" s="4"/>
      <c r="B62" s="4"/>
      <c r="C62" s="7"/>
      <c r="D62" s="630" t="s">
        <v>1160</v>
      </c>
      <c r="E62" s="630"/>
      <c r="F62" s="222">
        <v>1</v>
      </c>
      <c r="G62" s="439" t="s">
        <v>1393</v>
      </c>
      <c r="H62" s="7"/>
      <c r="I62" s="7"/>
      <c r="J62" s="7"/>
      <c r="K62" s="7"/>
      <c r="L62" s="7"/>
      <c r="M62" s="7"/>
      <c r="N62" s="7"/>
      <c r="O62" s="7"/>
      <c r="P62" s="7"/>
      <c r="Q62" s="7"/>
      <c r="R62" s="7"/>
      <c r="S62" s="7"/>
      <c r="T62" s="7"/>
      <c r="U62" s="7"/>
      <c r="V62" s="4"/>
    </row>
    <row r="63" spans="1:22" outlineLevel="1">
      <c r="A63" s="4"/>
      <c r="B63" s="4"/>
      <c r="C63" s="7"/>
      <c r="D63" s="630" t="s">
        <v>1161</v>
      </c>
      <c r="E63" s="630"/>
      <c r="F63" s="222">
        <v>2</v>
      </c>
      <c r="G63" s="7"/>
      <c r="H63" s="7"/>
      <c r="I63" s="7"/>
      <c r="J63" s="7"/>
      <c r="K63" s="7"/>
      <c r="L63" s="7"/>
      <c r="M63" s="7"/>
      <c r="N63" s="7"/>
      <c r="O63" s="7"/>
      <c r="P63" s="7"/>
      <c r="Q63" s="7"/>
      <c r="R63" s="7"/>
      <c r="S63" s="7"/>
      <c r="T63" s="7"/>
      <c r="U63" s="7"/>
      <c r="V63" s="4"/>
    </row>
    <row r="64" spans="1:22" outlineLevel="1">
      <c r="A64" s="4"/>
      <c r="B64" s="4"/>
      <c r="C64" s="7"/>
      <c r="D64" s="630" t="s">
        <v>1162</v>
      </c>
      <c r="E64" s="630"/>
      <c r="F64" s="222">
        <v>3</v>
      </c>
      <c r="G64" s="7"/>
      <c r="H64" s="7"/>
      <c r="I64" s="7"/>
      <c r="J64" s="7"/>
      <c r="K64" s="7"/>
      <c r="L64" s="7"/>
      <c r="M64" s="7"/>
      <c r="N64" s="7"/>
      <c r="O64" s="7"/>
      <c r="P64" s="7"/>
      <c r="Q64" s="7"/>
      <c r="R64" s="7"/>
      <c r="S64" s="7"/>
      <c r="T64" s="7"/>
      <c r="U64" s="7"/>
      <c r="V64" s="4"/>
    </row>
    <row r="65" spans="1:22" outlineLevel="1">
      <c r="A65" s="4"/>
      <c r="B65" s="4"/>
      <c r="C65" s="7"/>
      <c r="D65" s="630" t="s">
        <v>1163</v>
      </c>
      <c r="E65" s="630"/>
      <c r="F65" s="222">
        <v>4</v>
      </c>
      <c r="G65" s="7"/>
      <c r="H65" s="7"/>
      <c r="I65" s="7"/>
      <c r="J65" s="7"/>
      <c r="K65" s="7"/>
      <c r="L65" s="7"/>
      <c r="M65" s="7"/>
      <c r="N65" s="7"/>
      <c r="O65" s="7"/>
      <c r="P65" s="7"/>
      <c r="Q65" s="7"/>
      <c r="R65" s="7"/>
      <c r="S65" s="7"/>
      <c r="T65" s="7"/>
      <c r="U65" s="7"/>
      <c r="V65" s="4"/>
    </row>
    <row r="66" spans="1:22" outlineLevel="1">
      <c r="A66" s="4"/>
      <c r="B66" s="4"/>
      <c r="C66" s="7"/>
      <c r="D66" s="183"/>
      <c r="E66" s="183"/>
      <c r="F66" s="96"/>
      <c r="G66" s="7"/>
      <c r="H66" s="7"/>
      <c r="I66" s="7"/>
      <c r="J66" s="7"/>
      <c r="K66" s="7"/>
      <c r="L66" s="7"/>
      <c r="M66" s="7"/>
      <c r="N66" s="7"/>
      <c r="O66" s="7"/>
      <c r="P66" s="7"/>
      <c r="Q66" s="7"/>
      <c r="R66" s="7"/>
      <c r="S66" s="7"/>
      <c r="T66" s="7"/>
      <c r="U66" s="7"/>
      <c r="V66" s="4"/>
    </row>
    <row r="67" spans="1:22" outlineLevel="1">
      <c r="A67" s="4"/>
      <c r="B67" s="4"/>
      <c r="C67" s="4"/>
      <c r="D67" s="213"/>
      <c r="E67" s="213"/>
      <c r="F67" s="35"/>
      <c r="G67" s="4"/>
      <c r="H67" s="4"/>
      <c r="I67" s="4"/>
      <c r="J67" s="4"/>
      <c r="K67" s="4"/>
      <c r="L67" s="4"/>
      <c r="M67" s="4"/>
      <c r="N67" s="4"/>
      <c r="O67" s="4"/>
      <c r="P67" s="4"/>
      <c r="Q67" s="4"/>
      <c r="R67" s="4"/>
      <c r="S67" s="4"/>
      <c r="T67" s="4"/>
      <c r="U67" s="4"/>
      <c r="V67" s="4"/>
    </row>
    <row r="68" spans="1:22" ht="15" outlineLevel="1" thickBot="1">
      <c r="A68" s="4"/>
      <c r="B68" s="4"/>
      <c r="C68" s="7"/>
      <c r="D68" s="7"/>
      <c r="E68" s="7"/>
      <c r="F68" s="7"/>
      <c r="G68" s="7"/>
      <c r="H68" s="7"/>
      <c r="I68" s="7"/>
      <c r="J68" s="7"/>
      <c r="K68" s="7"/>
      <c r="L68" s="7"/>
      <c r="M68" s="7"/>
      <c r="N68" s="7"/>
      <c r="O68" s="7"/>
      <c r="P68" s="7"/>
      <c r="Q68" s="7"/>
      <c r="R68" s="7"/>
      <c r="S68" s="7"/>
      <c r="T68" s="7"/>
      <c r="U68" s="7"/>
      <c r="V68" s="4"/>
    </row>
    <row r="69" spans="1:22" s="16" customFormat="1" ht="43.5" outlineLevel="1">
      <c r="A69" s="55"/>
      <c r="B69" s="55"/>
      <c r="C69" s="99"/>
      <c r="D69" s="389" t="s">
        <v>1164</v>
      </c>
      <c r="E69" s="314" t="s">
        <v>1165</v>
      </c>
      <c r="F69" s="314" t="s">
        <v>1166</v>
      </c>
      <c r="G69" s="314" t="s">
        <v>1167</v>
      </c>
      <c r="H69" s="314" t="s">
        <v>1168</v>
      </c>
      <c r="I69" s="451" t="s">
        <v>978</v>
      </c>
      <c r="J69" s="452" t="s">
        <v>1394</v>
      </c>
      <c r="K69" s="314" t="s">
        <v>975</v>
      </c>
      <c r="L69" s="314" t="s">
        <v>981</v>
      </c>
      <c r="M69" s="314" t="s">
        <v>979</v>
      </c>
      <c r="N69" s="314" t="s">
        <v>980</v>
      </c>
      <c r="O69" s="314" t="s">
        <v>982</v>
      </c>
      <c r="P69" s="314" t="s">
        <v>1169</v>
      </c>
      <c r="Q69" s="314" t="s">
        <v>1140</v>
      </c>
      <c r="R69" s="314" t="s">
        <v>1141</v>
      </c>
      <c r="S69" s="314" t="s">
        <v>1170</v>
      </c>
      <c r="T69" s="388" t="s">
        <v>1171</v>
      </c>
      <c r="U69" s="85"/>
      <c r="V69" s="79"/>
    </row>
    <row r="70" spans="1:22" ht="116.1" outlineLevel="1">
      <c r="A70" s="4"/>
      <c r="B70" s="4"/>
      <c r="C70" s="7"/>
      <c r="D70" s="683" t="s">
        <v>349</v>
      </c>
      <c r="E70" s="453" t="s">
        <v>608</v>
      </c>
      <c r="F70" s="454" t="s">
        <v>1172</v>
      </c>
      <c r="G70" s="455" t="s">
        <v>1173</v>
      </c>
      <c r="H70" s="455" t="s">
        <v>1173</v>
      </c>
      <c r="I70" s="456" t="s">
        <v>1173</v>
      </c>
      <c r="J70" s="457" t="s">
        <v>1173</v>
      </c>
      <c r="K70" s="455" t="s">
        <v>1173</v>
      </c>
      <c r="L70" s="455" t="s">
        <v>1174</v>
      </c>
      <c r="M70" s="455" t="s">
        <v>1175</v>
      </c>
      <c r="N70" s="455" t="s">
        <v>1176</v>
      </c>
      <c r="O70" s="455" t="s">
        <v>1173</v>
      </c>
      <c r="P70" s="455" t="s">
        <v>1177</v>
      </c>
      <c r="Q70" s="455" t="s">
        <v>1178</v>
      </c>
      <c r="R70" s="455" t="s">
        <v>834</v>
      </c>
      <c r="S70" s="458"/>
      <c r="T70" s="459"/>
      <c r="U70" s="7"/>
      <c r="V70" s="4"/>
    </row>
    <row r="71" spans="1:22" outlineLevel="1">
      <c r="A71" s="4"/>
      <c r="B71" s="4"/>
      <c r="C71" s="7"/>
      <c r="D71" s="684"/>
      <c r="E71" s="460" t="s">
        <v>608</v>
      </c>
      <c r="F71" s="461" t="s">
        <v>1179</v>
      </c>
      <c r="G71" s="462" t="s">
        <v>319</v>
      </c>
      <c r="H71" s="462" t="s">
        <v>319</v>
      </c>
      <c r="I71" s="463" t="s">
        <v>319</v>
      </c>
      <c r="J71" s="464" t="s">
        <v>319</v>
      </c>
      <c r="K71" s="462" t="s">
        <v>319</v>
      </c>
      <c r="L71" s="462" t="s">
        <v>331</v>
      </c>
      <c r="M71" s="462" t="s">
        <v>331</v>
      </c>
      <c r="N71" s="462" t="s">
        <v>335</v>
      </c>
      <c r="O71" s="462" t="s">
        <v>319</v>
      </c>
      <c r="P71" s="462" t="s">
        <v>335</v>
      </c>
      <c r="Q71" s="462" t="s">
        <v>335</v>
      </c>
      <c r="R71" s="462" t="s">
        <v>319</v>
      </c>
      <c r="S71" s="465"/>
      <c r="T71" s="466"/>
      <c r="U71" s="7"/>
      <c r="V71" s="4"/>
    </row>
    <row r="72" spans="1:22" ht="29.1" outlineLevel="1">
      <c r="A72" s="4"/>
      <c r="B72" s="4"/>
      <c r="C72" s="7"/>
      <c r="D72" s="684"/>
      <c r="E72" s="318"/>
      <c r="F72" s="16" t="s">
        <v>1180</v>
      </c>
      <c r="G72" s="16" t="s">
        <v>1181</v>
      </c>
      <c r="H72" s="16" t="s">
        <v>1182</v>
      </c>
      <c r="I72" s="440" t="s">
        <v>1184</v>
      </c>
      <c r="J72" s="426" t="s">
        <v>1395</v>
      </c>
      <c r="K72" s="16" t="s">
        <v>1183</v>
      </c>
      <c r="L72" s="16" t="s">
        <v>1184</v>
      </c>
      <c r="M72" s="16" t="s">
        <v>1184</v>
      </c>
      <c r="N72" s="16" t="s">
        <v>1185</v>
      </c>
      <c r="O72" s="16" t="s">
        <v>1186</v>
      </c>
      <c r="P72" s="16" t="s">
        <v>1187</v>
      </c>
      <c r="Q72" s="16" t="s">
        <v>1182</v>
      </c>
      <c r="R72" s="16" t="s">
        <v>1182</v>
      </c>
      <c r="S72" s="114" t="s">
        <v>1188</v>
      </c>
      <c r="T72" s="395"/>
      <c r="U72" s="7"/>
      <c r="V72" s="4"/>
    </row>
    <row r="73" spans="1:22" outlineLevel="1">
      <c r="A73" s="4"/>
      <c r="B73" s="4"/>
      <c r="C73" s="7"/>
      <c r="D73" s="684"/>
      <c r="E73" s="318" t="s">
        <v>622</v>
      </c>
      <c r="F73" s="16" t="s">
        <v>1189</v>
      </c>
      <c r="G73" s="386">
        <v>0.99990000000000001</v>
      </c>
      <c r="H73" s="386">
        <v>1</v>
      </c>
      <c r="I73" s="441">
        <v>0.99990000000000001</v>
      </c>
      <c r="J73" s="427"/>
      <c r="K73" s="386">
        <v>0.99950000000000006</v>
      </c>
      <c r="L73" s="386">
        <v>0.999</v>
      </c>
      <c r="M73" s="386">
        <v>0.99950000000000006</v>
      </c>
      <c r="N73" s="386">
        <v>0.99999000000000005</v>
      </c>
      <c r="O73" s="386">
        <v>1</v>
      </c>
      <c r="P73" s="386">
        <v>0.99999000000000005</v>
      </c>
      <c r="Q73" s="387">
        <v>0.99</v>
      </c>
      <c r="R73" s="387">
        <v>0.99</v>
      </c>
      <c r="S73" s="354">
        <f>Table85919325[[#This Row],[Azure AD]]*Table85919325[[#This Row],[Azure DNS (Public)]]*Table85919325[[#This Row],[App Service Plan]]*Table85919325[[#This Row],[Azure Service Bus]]*Table85919325[[#This Row],[Azure Function App]]*Table85919325[[#This Row],[Azure Redis Cache]]*O73*P73*Q73*R73</f>
        <v>0.97802365001107594</v>
      </c>
      <c r="T73" s="395" t="s">
        <v>1190</v>
      </c>
      <c r="U73" s="7"/>
      <c r="V73" s="4"/>
    </row>
    <row r="74" spans="1:22" outlineLevel="1">
      <c r="A74" s="4"/>
      <c r="B74" s="4"/>
      <c r="C74" s="7"/>
      <c r="D74" s="684"/>
      <c r="E74" s="318" t="s">
        <v>622</v>
      </c>
      <c r="F74" s="16" t="s">
        <v>1191</v>
      </c>
      <c r="G74" s="18" t="s">
        <v>1192</v>
      </c>
      <c r="H74" s="18" t="s">
        <v>1192</v>
      </c>
      <c r="I74" s="442"/>
      <c r="J74" s="428"/>
      <c r="K74" s="18" t="s">
        <v>1192</v>
      </c>
      <c r="L74" s="18" t="s">
        <v>1192</v>
      </c>
      <c r="M74" s="18" t="s">
        <v>1192</v>
      </c>
      <c r="N74" s="18" t="s">
        <v>1192</v>
      </c>
      <c r="O74" s="18" t="s">
        <v>1192</v>
      </c>
      <c r="P74" s="18" t="s">
        <v>1192</v>
      </c>
      <c r="Q74" s="18" t="s">
        <v>1188</v>
      </c>
      <c r="R74" s="18" t="s">
        <v>1188</v>
      </c>
      <c r="S74" s="18"/>
      <c r="T74" s="395"/>
      <c r="U74" s="7"/>
      <c r="V74" s="4"/>
    </row>
    <row r="75" spans="1:22" ht="72.599999999999994" outlineLevel="1">
      <c r="A75" s="4"/>
      <c r="B75" s="4"/>
      <c r="C75" s="7"/>
      <c r="D75" s="684"/>
      <c r="E75" s="318" t="s">
        <v>622</v>
      </c>
      <c r="F75" s="16" t="s">
        <v>1197</v>
      </c>
      <c r="G75" s="114">
        <v>1</v>
      </c>
      <c r="H75" s="114">
        <v>1</v>
      </c>
      <c r="I75" s="443"/>
      <c r="J75" s="429"/>
      <c r="K75" s="114">
        <v>1</v>
      </c>
      <c r="L75" s="114">
        <v>1</v>
      </c>
      <c r="M75" s="114">
        <v>1</v>
      </c>
      <c r="N75" s="114">
        <v>1</v>
      </c>
      <c r="O75" s="114">
        <v>1</v>
      </c>
      <c r="P75" s="114">
        <v>1</v>
      </c>
      <c r="Q75" s="114">
        <v>3</v>
      </c>
      <c r="R75" s="114">
        <v>3</v>
      </c>
      <c r="S75" s="114">
        <v>3</v>
      </c>
      <c r="T75" s="395" t="s">
        <v>1396</v>
      </c>
      <c r="U75" s="7"/>
      <c r="V75" s="4"/>
    </row>
    <row r="76" spans="1:22" ht="43.5" outlineLevel="1">
      <c r="A76" s="4"/>
      <c r="B76" s="4"/>
      <c r="C76" s="7"/>
      <c r="D76" s="684"/>
      <c r="E76" s="318" t="s">
        <v>613</v>
      </c>
      <c r="F76" s="16" t="s">
        <v>359</v>
      </c>
      <c r="G76" s="114">
        <v>1</v>
      </c>
      <c r="H76" s="114">
        <v>1</v>
      </c>
      <c r="I76" s="443">
        <v>1</v>
      </c>
      <c r="J76" s="429">
        <v>1</v>
      </c>
      <c r="K76" s="114">
        <v>1</v>
      </c>
      <c r="L76" s="114">
        <v>1</v>
      </c>
      <c r="M76" s="114">
        <v>1</v>
      </c>
      <c r="N76" s="114">
        <v>1</v>
      </c>
      <c r="O76" s="114">
        <v>1</v>
      </c>
      <c r="P76" s="114">
        <v>1</v>
      </c>
      <c r="Q76" s="114">
        <v>1</v>
      </c>
      <c r="R76" s="114">
        <v>1</v>
      </c>
      <c r="S76" s="114">
        <v>1</v>
      </c>
      <c r="T76" s="395" t="s">
        <v>1199</v>
      </c>
      <c r="U76" s="7"/>
      <c r="V76" s="4"/>
    </row>
    <row r="77" spans="1:22" ht="29.1" outlineLevel="1">
      <c r="A77" s="4"/>
      <c r="B77" s="4"/>
      <c r="C77" s="7"/>
      <c r="D77" s="684"/>
      <c r="E77" s="318" t="s">
        <v>626</v>
      </c>
      <c r="F77" s="16" t="s">
        <v>197</v>
      </c>
      <c r="G77" s="114">
        <v>4</v>
      </c>
      <c r="H77" s="114">
        <v>4</v>
      </c>
      <c r="I77" s="443">
        <v>4</v>
      </c>
      <c r="J77" s="429">
        <v>4</v>
      </c>
      <c r="K77" s="114">
        <v>1</v>
      </c>
      <c r="L77" s="114">
        <v>1</v>
      </c>
      <c r="M77" s="114">
        <v>1</v>
      </c>
      <c r="N77" s="114">
        <v>1</v>
      </c>
      <c r="O77" s="114">
        <v>1</v>
      </c>
      <c r="P77" s="114">
        <v>1</v>
      </c>
      <c r="Q77" s="114">
        <v>1</v>
      </c>
      <c r="R77" s="114">
        <v>1</v>
      </c>
      <c r="S77" s="114">
        <v>1</v>
      </c>
      <c r="T77" s="395" t="s">
        <v>1397</v>
      </c>
      <c r="U77" s="7"/>
      <c r="V77" s="4"/>
    </row>
    <row r="78" spans="1:22" ht="29.1" outlineLevel="1">
      <c r="A78" s="4"/>
      <c r="B78" s="4"/>
      <c r="C78" s="7"/>
      <c r="D78" s="684"/>
      <c r="E78" s="318" t="s">
        <v>628</v>
      </c>
      <c r="F78" s="16" t="s">
        <v>191</v>
      </c>
      <c r="G78" s="114">
        <v>4</v>
      </c>
      <c r="H78" s="114">
        <v>4</v>
      </c>
      <c r="I78" s="443">
        <v>4</v>
      </c>
      <c r="J78" s="429">
        <v>4</v>
      </c>
      <c r="K78" s="114">
        <v>1</v>
      </c>
      <c r="L78" s="114">
        <v>1</v>
      </c>
      <c r="M78" s="114">
        <v>1</v>
      </c>
      <c r="N78" s="114">
        <v>1</v>
      </c>
      <c r="O78" s="114">
        <v>1</v>
      </c>
      <c r="P78" s="114">
        <v>1</v>
      </c>
      <c r="Q78" s="114">
        <v>1</v>
      </c>
      <c r="R78" s="114">
        <v>1</v>
      </c>
      <c r="S78" s="114">
        <v>1</v>
      </c>
      <c r="T78" s="395" t="s">
        <v>1398</v>
      </c>
      <c r="U78" s="7"/>
      <c r="V78" s="4"/>
    </row>
    <row r="79" spans="1:22" ht="43.5" outlineLevel="1">
      <c r="A79" s="4"/>
      <c r="B79" s="4"/>
      <c r="C79" s="7"/>
      <c r="D79" s="684"/>
      <c r="E79" s="318" t="s">
        <v>630</v>
      </c>
      <c r="F79" s="16" t="s">
        <v>170</v>
      </c>
      <c r="G79" s="114">
        <v>4</v>
      </c>
      <c r="H79" s="114">
        <v>4</v>
      </c>
      <c r="I79" s="443">
        <v>4</v>
      </c>
      <c r="J79" s="429">
        <v>4</v>
      </c>
      <c r="K79" s="114">
        <v>1</v>
      </c>
      <c r="L79" s="114">
        <v>1</v>
      </c>
      <c r="M79" s="114">
        <v>1</v>
      </c>
      <c r="N79" s="114">
        <v>1</v>
      </c>
      <c r="O79" s="114">
        <v>1</v>
      </c>
      <c r="P79" s="114">
        <v>1</v>
      </c>
      <c r="Q79" s="114">
        <v>1</v>
      </c>
      <c r="R79" s="114">
        <v>1</v>
      </c>
      <c r="S79" s="114">
        <v>1</v>
      </c>
      <c r="T79" s="395" t="s">
        <v>1202</v>
      </c>
      <c r="U79" s="7"/>
      <c r="V79" s="4"/>
    </row>
    <row r="80" spans="1:22" outlineLevel="1">
      <c r="A80" s="4"/>
      <c r="B80" s="4"/>
      <c r="C80" s="7"/>
      <c r="D80" s="684"/>
      <c r="E80" s="318" t="s">
        <v>632</v>
      </c>
      <c r="F80" s="16" t="s">
        <v>176</v>
      </c>
      <c r="G80" s="114">
        <v>1</v>
      </c>
      <c r="H80" s="114">
        <v>1</v>
      </c>
      <c r="I80" s="443">
        <v>1</v>
      </c>
      <c r="J80" s="429">
        <v>1</v>
      </c>
      <c r="K80" s="114">
        <v>3</v>
      </c>
      <c r="L80" s="114">
        <v>3</v>
      </c>
      <c r="M80" s="114">
        <v>3</v>
      </c>
      <c r="N80" s="114">
        <v>3</v>
      </c>
      <c r="O80" s="114">
        <v>3</v>
      </c>
      <c r="P80" s="114">
        <v>3</v>
      </c>
      <c r="Q80" s="114">
        <v>1</v>
      </c>
      <c r="R80" s="114">
        <v>1</v>
      </c>
      <c r="S80" s="114">
        <v>3</v>
      </c>
      <c r="T80" s="395" t="s">
        <v>1203</v>
      </c>
      <c r="U80" s="7"/>
      <c r="V80" s="4"/>
    </row>
    <row r="81" spans="1:22" ht="57.95" outlineLevel="1">
      <c r="A81" s="4"/>
      <c r="B81" s="4"/>
      <c r="C81" s="7"/>
      <c r="D81" s="684"/>
      <c r="E81" s="318" t="s">
        <v>632</v>
      </c>
      <c r="F81" s="16" t="s">
        <v>1204</v>
      </c>
      <c r="G81" s="113">
        <v>0</v>
      </c>
      <c r="H81" s="113">
        <v>0</v>
      </c>
      <c r="I81" s="444">
        <v>0</v>
      </c>
      <c r="J81" s="430">
        <v>0</v>
      </c>
      <c r="K81" s="113">
        <v>9</v>
      </c>
      <c r="L81" s="113">
        <v>9</v>
      </c>
      <c r="M81" s="113">
        <v>9</v>
      </c>
      <c r="N81" s="113">
        <v>9</v>
      </c>
      <c r="O81" s="113">
        <v>9</v>
      </c>
      <c r="P81" s="113">
        <v>9</v>
      </c>
      <c r="Q81" s="113">
        <v>3</v>
      </c>
      <c r="R81" s="113">
        <v>3</v>
      </c>
      <c r="S81" s="113"/>
      <c r="T81" s="395" t="s">
        <v>1205</v>
      </c>
      <c r="U81" s="7"/>
      <c r="V81" s="4"/>
    </row>
    <row r="82" spans="1:22" outlineLevel="1">
      <c r="A82" s="4"/>
      <c r="B82" s="4"/>
      <c r="C82" s="7"/>
      <c r="D82" s="684"/>
      <c r="E82" s="318" t="s">
        <v>634</v>
      </c>
      <c r="F82" s="16" t="s">
        <v>173</v>
      </c>
      <c r="G82" s="114">
        <v>1</v>
      </c>
      <c r="H82" s="114">
        <v>1</v>
      </c>
      <c r="I82" s="443">
        <v>1</v>
      </c>
      <c r="J82" s="429">
        <v>1</v>
      </c>
      <c r="K82" s="114">
        <v>3</v>
      </c>
      <c r="L82" s="114">
        <v>3</v>
      </c>
      <c r="M82" s="114">
        <v>3</v>
      </c>
      <c r="N82" s="114">
        <v>3</v>
      </c>
      <c r="O82" s="114">
        <v>3</v>
      </c>
      <c r="P82" s="114">
        <v>3</v>
      </c>
      <c r="Q82" s="114">
        <v>1</v>
      </c>
      <c r="R82" s="114">
        <v>1</v>
      </c>
      <c r="S82" s="114">
        <v>3</v>
      </c>
      <c r="T82" s="395" t="s">
        <v>1206</v>
      </c>
      <c r="U82" s="7"/>
      <c r="V82" s="4"/>
    </row>
    <row r="83" spans="1:22" ht="57.95" outlineLevel="1">
      <c r="A83" s="4"/>
      <c r="B83" s="4"/>
      <c r="C83" s="7"/>
      <c r="D83" s="684"/>
      <c r="E83" s="318" t="s">
        <v>634</v>
      </c>
      <c r="F83" s="16" t="s">
        <v>1207</v>
      </c>
      <c r="G83" s="113">
        <v>0</v>
      </c>
      <c r="H83" s="113">
        <v>0</v>
      </c>
      <c r="I83" s="444">
        <v>0</v>
      </c>
      <c r="J83" s="430">
        <v>0</v>
      </c>
      <c r="K83" s="113">
        <v>1</v>
      </c>
      <c r="L83" s="113">
        <v>1</v>
      </c>
      <c r="M83" s="113">
        <v>1</v>
      </c>
      <c r="N83" s="113">
        <v>1.5</v>
      </c>
      <c r="O83" s="113">
        <v>1</v>
      </c>
      <c r="P83" s="113">
        <v>1</v>
      </c>
      <c r="Q83" s="113">
        <v>3</v>
      </c>
      <c r="R83" s="113">
        <v>3</v>
      </c>
      <c r="S83" s="113"/>
      <c r="T83" s="395" t="s">
        <v>1208</v>
      </c>
      <c r="U83" s="7"/>
      <c r="V83" s="4"/>
    </row>
    <row r="84" spans="1:22" ht="29.1" outlineLevel="1">
      <c r="A84" s="4"/>
      <c r="B84" s="4"/>
      <c r="C84" s="7"/>
      <c r="D84" s="684"/>
      <c r="E84" s="318"/>
      <c r="F84" s="16" t="s">
        <v>1209</v>
      </c>
      <c r="G84" s="16" t="s">
        <v>1210</v>
      </c>
      <c r="H84" s="16" t="s">
        <v>1210</v>
      </c>
      <c r="I84" s="440" t="s">
        <v>1210</v>
      </c>
      <c r="J84" s="431" t="s">
        <v>1210</v>
      </c>
      <c r="K84" s="18" t="s">
        <v>1399</v>
      </c>
      <c r="L84" s="18" t="s">
        <v>1399</v>
      </c>
      <c r="M84" s="18" t="s">
        <v>1399</v>
      </c>
      <c r="N84" s="18" t="s">
        <v>1399</v>
      </c>
      <c r="O84" s="18" t="s">
        <v>1399</v>
      </c>
      <c r="P84" s="18" t="s">
        <v>1399</v>
      </c>
      <c r="Q84" s="16" t="s">
        <v>1127</v>
      </c>
      <c r="R84" s="16" t="s">
        <v>1127</v>
      </c>
      <c r="S84" s="114"/>
      <c r="T84" s="395" t="s">
        <v>1400</v>
      </c>
      <c r="U84" s="7"/>
      <c r="V84" s="4"/>
    </row>
    <row r="85" spans="1:22" ht="43.5" outlineLevel="1">
      <c r="A85" s="4"/>
      <c r="B85" s="4"/>
      <c r="C85" s="7"/>
      <c r="D85" s="684"/>
      <c r="E85" s="318"/>
      <c r="F85" s="16" t="s">
        <v>1212</v>
      </c>
      <c r="G85" s="16" t="s">
        <v>1182</v>
      </c>
      <c r="H85" s="16" t="s">
        <v>1182</v>
      </c>
      <c r="I85" s="440" t="s">
        <v>1182</v>
      </c>
      <c r="J85" s="431" t="s">
        <v>1182</v>
      </c>
      <c r="K85" s="18" t="s">
        <v>1213</v>
      </c>
      <c r="L85" s="18" t="s">
        <v>1213</v>
      </c>
      <c r="M85" s="18" t="s">
        <v>1213</v>
      </c>
      <c r="N85" s="18" t="s">
        <v>1213</v>
      </c>
      <c r="O85" s="18" t="s">
        <v>1213</v>
      </c>
      <c r="P85" s="18" t="s">
        <v>1213</v>
      </c>
      <c r="Q85" s="16" t="s">
        <v>1182</v>
      </c>
      <c r="R85" s="16" t="s">
        <v>1182</v>
      </c>
      <c r="S85" s="114"/>
      <c r="T85" s="395"/>
      <c r="U85" s="7"/>
      <c r="V85" s="4"/>
    </row>
    <row r="86" spans="1:22" ht="27.6" customHeight="1" outlineLevel="1">
      <c r="A86" s="4"/>
      <c r="B86" s="4"/>
      <c r="C86" s="7"/>
      <c r="D86" s="684"/>
      <c r="E86" s="318"/>
      <c r="F86" s="16" t="s">
        <v>1214</v>
      </c>
      <c r="G86" s="116" t="s">
        <v>1215</v>
      </c>
      <c r="H86" s="116" t="s">
        <v>1215</v>
      </c>
      <c r="I86" s="445" t="s">
        <v>1215</v>
      </c>
      <c r="J86" s="432" t="s">
        <v>1215</v>
      </c>
      <c r="K86" s="116" t="s">
        <v>431</v>
      </c>
      <c r="L86" s="116" t="s">
        <v>431</v>
      </c>
      <c r="M86" s="116" t="s">
        <v>431</v>
      </c>
      <c r="N86" s="116" t="s">
        <v>1216</v>
      </c>
      <c r="O86" s="116" t="s">
        <v>431</v>
      </c>
      <c r="P86" s="116" t="s">
        <v>431</v>
      </c>
      <c r="Q86" s="116" t="s">
        <v>1182</v>
      </c>
      <c r="R86" s="116" t="s">
        <v>1182</v>
      </c>
      <c r="S86" s="114"/>
      <c r="T86" s="395"/>
      <c r="U86" s="7"/>
      <c r="V86" s="4"/>
    </row>
    <row r="87" spans="1:22" ht="16.5" outlineLevel="1">
      <c r="A87" s="4"/>
      <c r="B87" s="4"/>
      <c r="C87" s="7"/>
      <c r="D87" s="684"/>
      <c r="E87" s="318"/>
      <c r="F87" s="16" t="s">
        <v>1217</v>
      </c>
      <c r="G87" s="116" t="s">
        <v>1215</v>
      </c>
      <c r="H87" s="116" t="s">
        <v>1215</v>
      </c>
      <c r="I87" s="445" t="s">
        <v>1215</v>
      </c>
      <c r="J87" s="432" t="s">
        <v>1218</v>
      </c>
      <c r="K87" s="116" t="s">
        <v>1218</v>
      </c>
      <c r="L87" s="116" t="s">
        <v>1219</v>
      </c>
      <c r="M87" s="116" t="s">
        <v>1218</v>
      </c>
      <c r="N87" s="116" t="s">
        <v>1218</v>
      </c>
      <c r="O87" s="116" t="s">
        <v>1219</v>
      </c>
      <c r="P87" s="116" t="s">
        <v>1219</v>
      </c>
      <c r="Q87" s="116" t="s">
        <v>1182</v>
      </c>
      <c r="R87" s="116" t="s">
        <v>1182</v>
      </c>
      <c r="S87" s="114"/>
      <c r="T87" s="395"/>
      <c r="U87" s="7"/>
      <c r="V87" s="4"/>
    </row>
    <row r="88" spans="1:22" outlineLevel="1">
      <c r="A88" s="4"/>
      <c r="B88" s="4"/>
      <c r="C88" s="7"/>
      <c r="D88" s="684"/>
      <c r="E88" s="318"/>
      <c r="F88" s="16" t="s">
        <v>1220</v>
      </c>
      <c r="G88" s="114">
        <v>4</v>
      </c>
      <c r="H88" s="114">
        <v>4</v>
      </c>
      <c r="I88" s="443">
        <v>4</v>
      </c>
      <c r="J88" s="429">
        <v>4</v>
      </c>
      <c r="K88" s="114">
        <v>1</v>
      </c>
      <c r="L88" s="114">
        <v>1</v>
      </c>
      <c r="M88" s="114">
        <v>1</v>
      </c>
      <c r="N88" s="114">
        <v>1</v>
      </c>
      <c r="O88" s="114">
        <v>1</v>
      </c>
      <c r="P88" s="114">
        <v>1</v>
      </c>
      <c r="Q88" s="114">
        <v>4</v>
      </c>
      <c r="R88" s="114">
        <v>4</v>
      </c>
      <c r="S88" s="114">
        <v>1</v>
      </c>
      <c r="T88" s="395" t="s">
        <v>1221</v>
      </c>
      <c r="U88" s="7"/>
      <c r="V88" s="4"/>
    </row>
    <row r="89" spans="1:22" ht="29.1" outlineLevel="1">
      <c r="A89" s="4"/>
      <c r="B89" s="4"/>
      <c r="C89" s="7"/>
      <c r="D89" s="684"/>
      <c r="E89" s="318"/>
      <c r="F89" s="16" t="s">
        <v>1222</v>
      </c>
      <c r="G89" s="18" t="s">
        <v>1182</v>
      </c>
      <c r="H89" s="18" t="s">
        <v>1182</v>
      </c>
      <c r="I89" s="442" t="s">
        <v>1182</v>
      </c>
      <c r="J89" s="428" t="s">
        <v>1182</v>
      </c>
      <c r="K89" s="18" t="s">
        <v>1401</v>
      </c>
      <c r="L89" s="18" t="s">
        <v>1402</v>
      </c>
      <c r="M89" s="18" t="s">
        <v>1403</v>
      </c>
      <c r="N89" s="18" t="s">
        <v>1404</v>
      </c>
      <c r="O89" s="18" t="s">
        <v>1405</v>
      </c>
      <c r="P89" s="18" t="s">
        <v>1406</v>
      </c>
      <c r="Q89" s="18" t="s">
        <v>1182</v>
      </c>
      <c r="R89" s="18" t="s">
        <v>1182</v>
      </c>
      <c r="S89" s="314"/>
      <c r="T89" s="395"/>
      <c r="U89" s="7"/>
      <c r="V89" s="4"/>
    </row>
    <row r="90" spans="1:22" ht="29.1" outlineLevel="1">
      <c r="A90" s="4"/>
      <c r="B90" s="4"/>
      <c r="C90" s="7"/>
      <c r="D90" s="684"/>
      <c r="E90" s="318"/>
      <c r="F90" s="16" t="s">
        <v>1229</v>
      </c>
      <c r="G90" s="114">
        <v>4</v>
      </c>
      <c r="H90" s="114">
        <v>4</v>
      </c>
      <c r="I90" s="443">
        <v>4</v>
      </c>
      <c r="J90" s="429">
        <v>4</v>
      </c>
      <c r="K90" s="114">
        <v>1</v>
      </c>
      <c r="L90" s="114">
        <v>1</v>
      </c>
      <c r="M90" s="114">
        <v>1</v>
      </c>
      <c r="N90" s="114">
        <v>1</v>
      </c>
      <c r="O90" s="114">
        <v>1</v>
      </c>
      <c r="P90" s="114">
        <v>1</v>
      </c>
      <c r="Q90" s="114">
        <v>4</v>
      </c>
      <c r="R90" s="114">
        <v>4</v>
      </c>
      <c r="S90" s="114">
        <v>1</v>
      </c>
      <c r="T90" s="395" t="s">
        <v>1230</v>
      </c>
      <c r="U90" s="7"/>
      <c r="V90" s="4"/>
    </row>
    <row r="91" spans="1:22" outlineLevel="1">
      <c r="A91" s="4"/>
      <c r="B91" s="4"/>
      <c r="C91" s="7"/>
      <c r="D91" s="684"/>
      <c r="E91" s="318"/>
      <c r="F91" s="16" t="s">
        <v>1231</v>
      </c>
      <c r="G91" s="16" t="s">
        <v>428</v>
      </c>
      <c r="H91" s="16" t="s">
        <v>428</v>
      </c>
      <c r="I91" s="440" t="s">
        <v>428</v>
      </c>
      <c r="J91" s="431" t="s">
        <v>428</v>
      </c>
      <c r="K91" s="16" t="s">
        <v>428</v>
      </c>
      <c r="L91" s="16" t="s">
        <v>428</v>
      </c>
      <c r="M91" s="16" t="s">
        <v>428</v>
      </c>
      <c r="N91" s="16" t="s">
        <v>428</v>
      </c>
      <c r="O91" s="16" t="s">
        <v>428</v>
      </c>
      <c r="P91" s="16" t="s">
        <v>428</v>
      </c>
      <c r="Q91" s="18" t="s">
        <v>1182</v>
      </c>
      <c r="R91" s="18" t="s">
        <v>1182</v>
      </c>
      <c r="S91" s="114"/>
      <c r="T91" s="395"/>
      <c r="U91" s="7"/>
      <c r="V91" s="4"/>
    </row>
    <row r="92" spans="1:22" ht="43.5" outlineLevel="1">
      <c r="A92" s="4"/>
      <c r="B92" s="4"/>
      <c r="C92" s="7"/>
      <c r="D92" s="684"/>
      <c r="E92" s="318"/>
      <c r="F92" s="16" t="s">
        <v>1232</v>
      </c>
      <c r="G92" s="111" t="s">
        <v>1233</v>
      </c>
      <c r="H92" s="433" t="s">
        <v>1234</v>
      </c>
      <c r="I92" s="467" t="s">
        <v>1407</v>
      </c>
      <c r="J92" s="467" t="s">
        <v>1408</v>
      </c>
      <c r="K92" s="109" t="s">
        <v>1235</v>
      </c>
      <c r="L92" s="109" t="s">
        <v>1236</v>
      </c>
      <c r="M92" s="109" t="s">
        <v>1237</v>
      </c>
      <c r="N92" s="109" t="s">
        <v>1238</v>
      </c>
      <c r="O92" s="109" t="s">
        <v>1239</v>
      </c>
      <c r="P92" s="109" t="s">
        <v>1240</v>
      </c>
      <c r="Q92" s="18" t="s">
        <v>1182</v>
      </c>
      <c r="R92" s="18" t="s">
        <v>1182</v>
      </c>
      <c r="S92" s="114"/>
      <c r="T92" s="395" t="s">
        <v>1241</v>
      </c>
      <c r="U92" s="7"/>
      <c r="V92" s="4"/>
    </row>
    <row r="93" spans="1:22" outlineLevel="1">
      <c r="A93" s="4"/>
      <c r="B93" s="4"/>
      <c r="C93" s="7"/>
      <c r="D93" s="684"/>
      <c r="E93" s="318" t="s">
        <v>638</v>
      </c>
      <c r="F93" s="16" t="s">
        <v>356</v>
      </c>
      <c r="G93" s="114">
        <v>1</v>
      </c>
      <c r="H93" s="114">
        <v>1</v>
      </c>
      <c r="I93" s="443">
        <v>1</v>
      </c>
      <c r="J93" s="429">
        <v>1</v>
      </c>
      <c r="K93" s="114">
        <v>1</v>
      </c>
      <c r="L93" s="114">
        <v>1</v>
      </c>
      <c r="M93" s="114">
        <v>1</v>
      </c>
      <c r="N93" s="114">
        <v>1</v>
      </c>
      <c r="O93" s="114">
        <v>1</v>
      </c>
      <c r="P93" s="114">
        <v>1</v>
      </c>
      <c r="Q93" s="114">
        <v>1</v>
      </c>
      <c r="R93" s="114">
        <v>1</v>
      </c>
      <c r="S93" s="114">
        <v>1</v>
      </c>
      <c r="T93" s="395" t="s">
        <v>1242</v>
      </c>
      <c r="U93" s="7"/>
      <c r="V93" s="4"/>
    </row>
    <row r="94" spans="1:22" ht="43.5" outlineLevel="1">
      <c r="A94" s="4"/>
      <c r="B94" s="4"/>
      <c r="C94" s="7"/>
      <c r="D94" s="684"/>
      <c r="E94" s="318" t="s">
        <v>640</v>
      </c>
      <c r="F94" s="16" t="s">
        <v>1243</v>
      </c>
      <c r="G94" s="114">
        <v>1</v>
      </c>
      <c r="H94" s="114">
        <v>1</v>
      </c>
      <c r="I94" s="443">
        <v>1</v>
      </c>
      <c r="J94" s="429">
        <v>1</v>
      </c>
      <c r="K94" s="114">
        <v>1</v>
      </c>
      <c r="L94" s="114">
        <v>1</v>
      </c>
      <c r="M94" s="114">
        <v>1</v>
      </c>
      <c r="N94" s="114">
        <v>1</v>
      </c>
      <c r="O94" s="114">
        <v>1</v>
      </c>
      <c r="P94" s="114">
        <v>1</v>
      </c>
      <c r="Q94" s="114">
        <v>1</v>
      </c>
      <c r="R94" s="114">
        <v>1</v>
      </c>
      <c r="S94" s="114">
        <v>1</v>
      </c>
      <c r="T94" s="395" t="s">
        <v>1244</v>
      </c>
      <c r="U94" s="7"/>
      <c r="V94" s="4"/>
    </row>
    <row r="95" spans="1:22" ht="72.599999999999994" outlineLevel="1">
      <c r="A95" s="4"/>
      <c r="B95" s="4"/>
      <c r="C95" s="7"/>
      <c r="D95" s="684"/>
      <c r="E95" s="318" t="s">
        <v>618</v>
      </c>
      <c r="F95" s="16" t="s">
        <v>140</v>
      </c>
      <c r="G95" s="114">
        <v>1</v>
      </c>
      <c r="H95" s="114">
        <v>1</v>
      </c>
      <c r="I95" s="443">
        <v>1</v>
      </c>
      <c r="J95" s="429">
        <v>1</v>
      </c>
      <c r="K95" s="114">
        <v>1</v>
      </c>
      <c r="L95" s="114">
        <v>1</v>
      </c>
      <c r="M95" s="114">
        <v>1</v>
      </c>
      <c r="N95" s="114">
        <v>1</v>
      </c>
      <c r="O95" s="114">
        <v>1</v>
      </c>
      <c r="P95" s="114">
        <v>1</v>
      </c>
      <c r="Q95" s="114">
        <v>1</v>
      </c>
      <c r="R95" s="114">
        <v>1</v>
      </c>
      <c r="S95" s="114">
        <v>1</v>
      </c>
      <c r="T95" s="395" t="s">
        <v>1245</v>
      </c>
      <c r="U95" s="7"/>
      <c r="V95" s="4"/>
    </row>
    <row r="96" spans="1:22" ht="29.1" outlineLevel="1">
      <c r="A96" s="4"/>
      <c r="B96" s="4"/>
      <c r="C96" s="7"/>
      <c r="D96" s="684"/>
      <c r="E96" s="318" t="s">
        <v>646</v>
      </c>
      <c r="F96" s="16" t="s">
        <v>1246</v>
      </c>
      <c r="G96" s="114">
        <v>1</v>
      </c>
      <c r="H96" s="114">
        <v>1</v>
      </c>
      <c r="I96" s="443">
        <v>1</v>
      </c>
      <c r="J96" s="429">
        <v>1</v>
      </c>
      <c r="K96" s="114">
        <v>1</v>
      </c>
      <c r="L96" s="114">
        <v>1</v>
      </c>
      <c r="M96" s="114">
        <v>1</v>
      </c>
      <c r="N96" s="114">
        <v>1</v>
      </c>
      <c r="O96" s="114">
        <v>1</v>
      </c>
      <c r="P96" s="114">
        <v>1</v>
      </c>
      <c r="Q96" s="114">
        <v>1</v>
      </c>
      <c r="R96" s="114">
        <v>1</v>
      </c>
      <c r="S96" s="114">
        <v>1</v>
      </c>
      <c r="T96" s="395" t="s">
        <v>1409</v>
      </c>
      <c r="U96" s="7"/>
      <c r="V96" s="4"/>
    </row>
    <row r="97" spans="1:22" ht="43.5" outlineLevel="1">
      <c r="A97" s="4"/>
      <c r="B97" s="4"/>
      <c r="C97" s="7"/>
      <c r="D97" s="684"/>
      <c r="E97" s="318" t="s">
        <v>620</v>
      </c>
      <c r="F97" s="16" t="s">
        <v>358</v>
      </c>
      <c r="G97" s="114">
        <v>1</v>
      </c>
      <c r="H97" s="114">
        <v>1</v>
      </c>
      <c r="I97" s="443">
        <v>1</v>
      </c>
      <c r="J97" s="429">
        <v>1</v>
      </c>
      <c r="K97" s="114">
        <v>1</v>
      </c>
      <c r="L97" s="114">
        <v>1</v>
      </c>
      <c r="M97" s="114">
        <v>1</v>
      </c>
      <c r="N97" s="114">
        <v>1</v>
      </c>
      <c r="O97" s="114">
        <v>1</v>
      </c>
      <c r="P97" s="114">
        <v>1</v>
      </c>
      <c r="Q97" s="114">
        <v>4</v>
      </c>
      <c r="R97" s="114">
        <v>4</v>
      </c>
      <c r="S97" s="114">
        <v>1</v>
      </c>
      <c r="T97" s="395" t="s">
        <v>1410</v>
      </c>
      <c r="U97" s="7"/>
      <c r="V97" s="4"/>
    </row>
    <row r="98" spans="1:22" ht="330.6" customHeight="1" outlineLevel="1">
      <c r="A98" s="4"/>
      <c r="B98" s="4"/>
      <c r="C98" s="7"/>
      <c r="D98" s="684"/>
      <c r="E98" s="318" t="s">
        <v>620</v>
      </c>
      <c r="F98" s="16" t="s">
        <v>1249</v>
      </c>
      <c r="G98" s="18" t="s">
        <v>1250</v>
      </c>
      <c r="H98" s="18" t="s">
        <v>1251</v>
      </c>
      <c r="I98" s="442"/>
      <c r="J98" s="428"/>
      <c r="K98" s="18" t="s">
        <v>1252</v>
      </c>
      <c r="L98" s="18" t="s">
        <v>1253</v>
      </c>
      <c r="M98" s="18" t="s">
        <v>1254</v>
      </c>
      <c r="N98" s="18" t="s">
        <v>1255</v>
      </c>
      <c r="O98" s="18" t="s">
        <v>1256</v>
      </c>
      <c r="P98" s="18" t="s">
        <v>1257</v>
      </c>
      <c r="Q98" s="18" t="s">
        <v>1258</v>
      </c>
      <c r="R98" s="18" t="s">
        <v>1258</v>
      </c>
      <c r="S98" s="114"/>
      <c r="T98" s="395"/>
      <c r="U98" s="7"/>
      <c r="V98" s="4"/>
    </row>
    <row r="99" spans="1:22" ht="29.1" outlineLevel="1">
      <c r="A99" s="4"/>
      <c r="B99" s="4"/>
      <c r="C99" s="7"/>
      <c r="D99" s="684"/>
      <c r="E99" s="318" t="s">
        <v>615</v>
      </c>
      <c r="F99" s="16" t="s">
        <v>258</v>
      </c>
      <c r="G99" s="114">
        <v>1</v>
      </c>
      <c r="H99" s="114">
        <v>1</v>
      </c>
      <c r="I99" s="443">
        <v>1</v>
      </c>
      <c r="J99" s="429">
        <v>1</v>
      </c>
      <c r="K99" s="114">
        <v>1</v>
      </c>
      <c r="L99" s="114">
        <v>1</v>
      </c>
      <c r="M99" s="114">
        <v>1</v>
      </c>
      <c r="N99" s="114">
        <v>1</v>
      </c>
      <c r="O99" s="114">
        <v>1</v>
      </c>
      <c r="P99" s="114">
        <v>1</v>
      </c>
      <c r="Q99" s="114">
        <v>3</v>
      </c>
      <c r="R99" s="114">
        <v>3</v>
      </c>
      <c r="S99" s="114">
        <v>3</v>
      </c>
      <c r="T99" s="395" t="s">
        <v>1411</v>
      </c>
      <c r="U99" s="7"/>
      <c r="V99" s="4"/>
    </row>
    <row r="100" spans="1:22" outlineLevel="1">
      <c r="A100" s="4"/>
      <c r="B100" s="4"/>
      <c r="C100" s="7"/>
      <c r="D100" s="684"/>
      <c r="E100" s="318" t="s">
        <v>624</v>
      </c>
      <c r="F100" s="16" t="s">
        <v>360</v>
      </c>
      <c r="G100" s="114">
        <v>1</v>
      </c>
      <c r="H100" s="114">
        <v>1</v>
      </c>
      <c r="I100" s="443">
        <v>1</v>
      </c>
      <c r="J100" s="429">
        <v>1</v>
      </c>
      <c r="K100" s="114">
        <v>1</v>
      </c>
      <c r="L100" s="114">
        <v>1</v>
      </c>
      <c r="M100" s="114">
        <v>1</v>
      </c>
      <c r="N100" s="114">
        <v>1</v>
      </c>
      <c r="O100" s="114">
        <v>1</v>
      </c>
      <c r="P100" s="114">
        <v>1</v>
      </c>
      <c r="Q100" s="114">
        <v>3</v>
      </c>
      <c r="R100" s="114">
        <v>3</v>
      </c>
      <c r="S100" s="114">
        <v>3</v>
      </c>
      <c r="T100" s="395" t="s">
        <v>1412</v>
      </c>
      <c r="U100" s="7"/>
      <c r="V100" s="4"/>
    </row>
    <row r="101" spans="1:22" outlineLevel="1">
      <c r="A101" s="4"/>
      <c r="B101" s="4"/>
      <c r="C101" s="7"/>
      <c r="D101" s="684"/>
      <c r="E101" s="318" t="s">
        <v>640</v>
      </c>
      <c r="F101" s="16" t="s">
        <v>73</v>
      </c>
      <c r="G101" s="114">
        <v>1</v>
      </c>
      <c r="H101" s="114">
        <v>1</v>
      </c>
      <c r="I101" s="443">
        <v>1</v>
      </c>
      <c r="J101" s="429">
        <v>1</v>
      </c>
      <c r="K101" s="114">
        <v>1</v>
      </c>
      <c r="L101" s="114">
        <v>1</v>
      </c>
      <c r="M101" s="114">
        <v>1</v>
      </c>
      <c r="N101" s="114">
        <v>1</v>
      </c>
      <c r="O101" s="114">
        <v>1</v>
      </c>
      <c r="P101" s="114">
        <v>1</v>
      </c>
      <c r="Q101" s="114">
        <v>3</v>
      </c>
      <c r="R101" s="114">
        <v>3</v>
      </c>
      <c r="S101" s="114">
        <v>3</v>
      </c>
      <c r="T101" s="395" t="s">
        <v>1413</v>
      </c>
      <c r="U101" s="7"/>
      <c r="V101" s="4"/>
    </row>
    <row r="102" spans="1:22" outlineLevel="1">
      <c r="A102" s="4"/>
      <c r="B102" s="4"/>
      <c r="C102" s="7"/>
      <c r="D102" s="685"/>
      <c r="E102" s="477" t="s">
        <v>1414</v>
      </c>
      <c r="F102" s="470"/>
      <c r="G102" s="119"/>
      <c r="H102" s="119"/>
      <c r="I102" s="471"/>
      <c r="J102" s="472"/>
      <c r="K102" s="119"/>
      <c r="L102" s="119"/>
      <c r="M102" s="119"/>
      <c r="N102" s="119"/>
      <c r="O102" s="119"/>
      <c r="P102" s="119"/>
      <c r="Q102" s="119"/>
      <c r="R102" s="119"/>
      <c r="S102" s="119"/>
      <c r="T102" s="473"/>
      <c r="U102" s="7"/>
      <c r="V102" s="4"/>
    </row>
    <row r="103" spans="1:22" ht="14.45" customHeight="1" outlineLevel="1">
      <c r="A103" s="4"/>
      <c r="B103" s="4"/>
      <c r="C103" s="7"/>
      <c r="D103" s="677" t="s">
        <v>119</v>
      </c>
      <c r="E103" s="315" t="s">
        <v>636</v>
      </c>
      <c r="F103" s="316" t="s">
        <v>1263</v>
      </c>
      <c r="G103" s="317">
        <v>4</v>
      </c>
      <c r="H103" s="317">
        <v>4</v>
      </c>
      <c r="I103" s="446">
        <v>4</v>
      </c>
      <c r="J103" s="434">
        <v>4</v>
      </c>
      <c r="K103" s="317">
        <v>4</v>
      </c>
      <c r="L103" s="317">
        <v>4</v>
      </c>
      <c r="M103" s="317">
        <v>4</v>
      </c>
      <c r="N103" s="317">
        <v>4</v>
      </c>
      <c r="O103" s="317">
        <v>4</v>
      </c>
      <c r="P103" s="317">
        <v>4</v>
      </c>
      <c r="Q103" s="317">
        <v>4</v>
      </c>
      <c r="R103" s="317">
        <v>4</v>
      </c>
      <c r="S103" s="317">
        <v>4</v>
      </c>
      <c r="T103" s="396" t="s">
        <v>1264</v>
      </c>
      <c r="U103" s="7"/>
      <c r="V103" s="4"/>
    </row>
    <row r="104" spans="1:22" outlineLevel="1">
      <c r="A104" s="4"/>
      <c r="B104" s="4"/>
      <c r="C104" s="7"/>
      <c r="D104" s="678"/>
      <c r="E104" s="318" t="s">
        <v>660</v>
      </c>
      <c r="F104" s="16" t="s">
        <v>1265</v>
      </c>
      <c r="G104" s="114">
        <v>4</v>
      </c>
      <c r="H104" s="114">
        <v>4</v>
      </c>
      <c r="I104" s="443">
        <v>4</v>
      </c>
      <c r="J104" s="429">
        <v>4</v>
      </c>
      <c r="K104" s="114">
        <v>4</v>
      </c>
      <c r="L104" s="114">
        <v>4</v>
      </c>
      <c r="M104" s="114">
        <v>4</v>
      </c>
      <c r="N104" s="114">
        <v>4</v>
      </c>
      <c r="O104" s="114">
        <v>4</v>
      </c>
      <c r="P104" s="114">
        <v>4</v>
      </c>
      <c r="Q104" s="114">
        <v>4</v>
      </c>
      <c r="R104" s="114">
        <v>4</v>
      </c>
      <c r="S104" s="114">
        <v>4</v>
      </c>
      <c r="T104" s="395" t="s">
        <v>1264</v>
      </c>
      <c r="U104" s="7"/>
      <c r="V104" s="4"/>
    </row>
    <row r="105" spans="1:22" ht="29.1" outlineLevel="1">
      <c r="A105" s="4"/>
      <c r="B105" s="4"/>
      <c r="C105" s="7"/>
      <c r="D105" s="678"/>
      <c r="E105" s="318" t="s">
        <v>662</v>
      </c>
      <c r="F105" s="16" t="s">
        <v>1266</v>
      </c>
      <c r="G105" s="114">
        <v>4</v>
      </c>
      <c r="H105" s="114">
        <v>4</v>
      </c>
      <c r="I105" s="443">
        <v>4</v>
      </c>
      <c r="J105" s="429">
        <v>4</v>
      </c>
      <c r="K105" s="114">
        <v>1</v>
      </c>
      <c r="L105" s="114">
        <v>1</v>
      </c>
      <c r="M105" s="114">
        <v>1</v>
      </c>
      <c r="N105" s="114">
        <v>1</v>
      </c>
      <c r="O105" s="114">
        <v>1</v>
      </c>
      <c r="P105" s="114">
        <v>1</v>
      </c>
      <c r="Q105" s="114">
        <v>4</v>
      </c>
      <c r="R105" s="114">
        <v>4</v>
      </c>
      <c r="S105" s="114">
        <v>4</v>
      </c>
      <c r="T105" s="395" t="s">
        <v>1267</v>
      </c>
      <c r="U105" s="7"/>
      <c r="V105" s="4"/>
    </row>
    <row r="106" spans="1:22" outlineLevel="1">
      <c r="A106" s="4"/>
      <c r="B106" s="4"/>
      <c r="C106" s="7"/>
      <c r="D106" s="678"/>
      <c r="E106" s="318" t="s">
        <v>664</v>
      </c>
      <c r="F106" s="16" t="s">
        <v>1268</v>
      </c>
      <c r="G106" s="114">
        <v>4</v>
      </c>
      <c r="H106" s="114">
        <v>4</v>
      </c>
      <c r="I106" s="443">
        <v>4</v>
      </c>
      <c r="J106" s="429">
        <v>4</v>
      </c>
      <c r="K106" s="114">
        <v>1</v>
      </c>
      <c r="L106" s="114">
        <v>1</v>
      </c>
      <c r="M106" s="114">
        <v>1</v>
      </c>
      <c r="N106" s="114">
        <v>1</v>
      </c>
      <c r="O106" s="114">
        <v>1</v>
      </c>
      <c r="P106" s="114">
        <v>1</v>
      </c>
      <c r="Q106" s="114">
        <v>1</v>
      </c>
      <c r="R106" s="114">
        <v>1</v>
      </c>
      <c r="S106" s="114">
        <v>1</v>
      </c>
      <c r="T106" s="395" t="s">
        <v>1300</v>
      </c>
      <c r="U106" s="7"/>
      <c r="V106" s="4"/>
    </row>
    <row r="107" spans="1:22" outlineLevel="1">
      <c r="A107" s="4"/>
      <c r="B107" s="4"/>
      <c r="C107" s="7"/>
      <c r="D107" s="678"/>
      <c r="E107" s="318" t="s">
        <v>658</v>
      </c>
      <c r="F107" s="16" t="s">
        <v>1270</v>
      </c>
      <c r="G107" s="114">
        <v>4</v>
      </c>
      <c r="H107" s="114">
        <v>4</v>
      </c>
      <c r="I107" s="443">
        <v>4</v>
      </c>
      <c r="J107" s="429">
        <v>4</v>
      </c>
      <c r="K107" s="114">
        <v>1</v>
      </c>
      <c r="L107" s="114">
        <v>1</v>
      </c>
      <c r="M107" s="114">
        <v>1</v>
      </c>
      <c r="N107" s="114">
        <v>1</v>
      </c>
      <c r="O107" s="114">
        <v>1</v>
      </c>
      <c r="P107" s="114">
        <v>1</v>
      </c>
      <c r="Q107" s="114">
        <v>1</v>
      </c>
      <c r="R107" s="114">
        <v>1</v>
      </c>
      <c r="S107" s="114">
        <v>1</v>
      </c>
      <c r="T107" s="395" t="s">
        <v>1271</v>
      </c>
      <c r="U107" s="7"/>
      <c r="V107" s="4"/>
    </row>
    <row r="108" spans="1:22" outlineLevel="1">
      <c r="A108" s="4"/>
      <c r="B108" s="4"/>
      <c r="C108" s="7"/>
      <c r="D108" s="678"/>
      <c r="E108" s="318" t="s">
        <v>666</v>
      </c>
      <c r="F108" s="16" t="s">
        <v>1272</v>
      </c>
      <c r="G108" s="114">
        <v>4</v>
      </c>
      <c r="H108" s="114">
        <v>4</v>
      </c>
      <c r="I108" s="443">
        <v>4</v>
      </c>
      <c r="J108" s="429">
        <v>4</v>
      </c>
      <c r="K108" s="114">
        <v>1</v>
      </c>
      <c r="L108" s="114">
        <v>1</v>
      </c>
      <c r="M108" s="114">
        <v>1</v>
      </c>
      <c r="N108" s="114">
        <v>1</v>
      </c>
      <c r="O108" s="114">
        <v>1</v>
      </c>
      <c r="P108" s="114">
        <v>1</v>
      </c>
      <c r="Q108" s="114">
        <v>1</v>
      </c>
      <c r="R108" s="114">
        <v>1</v>
      </c>
      <c r="S108" s="114">
        <v>1</v>
      </c>
      <c r="T108" s="395"/>
      <c r="U108" s="7"/>
      <c r="V108" s="4"/>
    </row>
    <row r="109" spans="1:22" outlineLevel="1">
      <c r="A109" s="4"/>
      <c r="B109" s="4"/>
      <c r="C109" s="7"/>
      <c r="D109" s="678"/>
      <c r="E109" s="318" t="s">
        <v>668</v>
      </c>
      <c r="F109" s="16" t="s">
        <v>1274</v>
      </c>
      <c r="G109" s="114">
        <v>4</v>
      </c>
      <c r="H109" s="114">
        <v>4</v>
      </c>
      <c r="I109" s="443">
        <v>4</v>
      </c>
      <c r="J109" s="429">
        <v>4</v>
      </c>
      <c r="K109" s="114">
        <v>1</v>
      </c>
      <c r="L109" s="114">
        <v>4</v>
      </c>
      <c r="M109" s="114">
        <v>4</v>
      </c>
      <c r="N109" s="114">
        <v>4</v>
      </c>
      <c r="O109" s="114">
        <v>1</v>
      </c>
      <c r="P109" s="114">
        <v>4</v>
      </c>
      <c r="Q109" s="114">
        <v>4</v>
      </c>
      <c r="R109" s="114">
        <v>4</v>
      </c>
      <c r="S109" s="114">
        <v>1</v>
      </c>
      <c r="T109" s="395" t="s">
        <v>1300</v>
      </c>
      <c r="U109" s="7"/>
      <c r="V109" s="4"/>
    </row>
    <row r="110" spans="1:22" outlineLevel="1">
      <c r="A110" s="4"/>
      <c r="B110" s="4"/>
      <c r="C110" s="7"/>
      <c r="D110" s="678"/>
      <c r="E110" s="318" t="s">
        <v>670</v>
      </c>
      <c r="F110" s="16" t="s">
        <v>1276</v>
      </c>
      <c r="G110" s="114">
        <v>4</v>
      </c>
      <c r="H110" s="114">
        <v>4</v>
      </c>
      <c r="I110" s="443">
        <v>4</v>
      </c>
      <c r="J110" s="429">
        <v>4</v>
      </c>
      <c r="K110" s="114">
        <v>4</v>
      </c>
      <c r="L110" s="114">
        <v>4</v>
      </c>
      <c r="M110" s="114">
        <v>4</v>
      </c>
      <c r="N110" s="114">
        <v>4</v>
      </c>
      <c r="O110" s="114">
        <v>4</v>
      </c>
      <c r="P110" s="114">
        <v>4</v>
      </c>
      <c r="Q110" s="114">
        <v>4</v>
      </c>
      <c r="R110" s="114">
        <v>4</v>
      </c>
      <c r="S110" s="114">
        <v>4</v>
      </c>
      <c r="T110" s="395" t="s">
        <v>1264</v>
      </c>
      <c r="U110" s="7"/>
      <c r="V110" s="4"/>
    </row>
    <row r="111" spans="1:22" outlineLevel="1">
      <c r="A111" s="4"/>
      <c r="B111" s="4"/>
      <c r="C111" s="7"/>
      <c r="D111" s="678"/>
      <c r="E111" s="318" t="s">
        <v>672</v>
      </c>
      <c r="F111" s="16" t="s">
        <v>1277</v>
      </c>
      <c r="G111" s="114">
        <v>4</v>
      </c>
      <c r="H111" s="114">
        <v>4</v>
      </c>
      <c r="I111" s="443">
        <v>4</v>
      </c>
      <c r="J111" s="429">
        <v>4</v>
      </c>
      <c r="K111" s="114">
        <v>4</v>
      </c>
      <c r="L111" s="114">
        <v>4</v>
      </c>
      <c r="M111" s="114">
        <v>4</v>
      </c>
      <c r="N111" s="114">
        <v>4</v>
      </c>
      <c r="O111" s="114">
        <v>4</v>
      </c>
      <c r="P111" s="114">
        <v>4</v>
      </c>
      <c r="Q111" s="114">
        <v>4</v>
      </c>
      <c r="R111" s="114">
        <v>4</v>
      </c>
      <c r="S111" s="114">
        <v>4</v>
      </c>
      <c r="T111" s="395" t="s">
        <v>1264</v>
      </c>
      <c r="U111" s="7"/>
      <c r="V111" s="4"/>
    </row>
    <row r="112" spans="1:22" outlineLevel="1">
      <c r="A112" s="4"/>
      <c r="B112" s="4"/>
      <c r="C112" s="7"/>
      <c r="D112" s="678"/>
      <c r="E112" s="318" t="s">
        <v>674</v>
      </c>
      <c r="F112" s="16" t="s">
        <v>1278</v>
      </c>
      <c r="G112" s="114">
        <v>4</v>
      </c>
      <c r="H112" s="114">
        <v>4</v>
      </c>
      <c r="I112" s="443">
        <v>4</v>
      </c>
      <c r="J112" s="429">
        <v>4</v>
      </c>
      <c r="K112" s="114">
        <v>1</v>
      </c>
      <c r="L112" s="114">
        <v>4</v>
      </c>
      <c r="M112" s="114">
        <v>4</v>
      </c>
      <c r="N112" s="114">
        <v>4</v>
      </c>
      <c r="O112" s="114">
        <v>1</v>
      </c>
      <c r="P112" s="114">
        <v>4</v>
      </c>
      <c r="Q112" s="114">
        <v>4</v>
      </c>
      <c r="R112" s="114">
        <v>4</v>
      </c>
      <c r="S112" s="114">
        <v>1</v>
      </c>
      <c r="T112" s="395" t="s">
        <v>1300</v>
      </c>
      <c r="U112" s="7"/>
      <c r="V112" s="4"/>
    </row>
    <row r="113" spans="1:22" outlineLevel="1">
      <c r="A113" s="4"/>
      <c r="B113" s="4"/>
      <c r="C113" s="7"/>
      <c r="D113" s="678"/>
      <c r="E113" s="318" t="s">
        <v>676</v>
      </c>
      <c r="F113" s="16" t="s">
        <v>1279</v>
      </c>
      <c r="G113" s="114">
        <v>4</v>
      </c>
      <c r="H113" s="114">
        <v>4</v>
      </c>
      <c r="I113" s="443">
        <v>4</v>
      </c>
      <c r="J113" s="429">
        <v>4</v>
      </c>
      <c r="K113" s="114">
        <v>1</v>
      </c>
      <c r="L113" s="114">
        <v>4</v>
      </c>
      <c r="M113" s="114">
        <v>4</v>
      </c>
      <c r="N113" s="114">
        <v>4</v>
      </c>
      <c r="O113" s="114">
        <v>1</v>
      </c>
      <c r="P113" s="114">
        <v>4</v>
      </c>
      <c r="Q113" s="114">
        <v>4</v>
      </c>
      <c r="R113" s="114">
        <v>4</v>
      </c>
      <c r="S113" s="114">
        <v>1</v>
      </c>
      <c r="T113" s="395" t="s">
        <v>1300</v>
      </c>
      <c r="U113" s="7"/>
      <c r="V113" s="4"/>
    </row>
    <row r="114" spans="1:22" outlineLevel="1">
      <c r="A114" s="4"/>
      <c r="B114" s="4"/>
      <c r="C114" s="7"/>
      <c r="D114" s="678"/>
      <c r="E114" s="318" t="s">
        <v>678</v>
      </c>
      <c r="F114" s="16" t="s">
        <v>1280</v>
      </c>
      <c r="G114" s="114">
        <v>4</v>
      </c>
      <c r="H114" s="114">
        <v>4</v>
      </c>
      <c r="I114" s="443">
        <v>4</v>
      </c>
      <c r="J114" s="429">
        <v>4</v>
      </c>
      <c r="K114" s="114">
        <v>4</v>
      </c>
      <c r="L114" s="114">
        <v>4</v>
      </c>
      <c r="M114" s="114">
        <v>4</v>
      </c>
      <c r="N114" s="114">
        <v>4</v>
      </c>
      <c r="O114" s="114">
        <v>4</v>
      </c>
      <c r="P114" s="114">
        <v>4</v>
      </c>
      <c r="Q114" s="114">
        <v>4</v>
      </c>
      <c r="R114" s="114">
        <v>4</v>
      </c>
      <c r="S114" s="114">
        <v>4</v>
      </c>
      <c r="T114" s="395" t="s">
        <v>1264</v>
      </c>
      <c r="U114" s="7"/>
      <c r="V114" s="4"/>
    </row>
    <row r="115" spans="1:22" outlineLevel="1">
      <c r="A115" s="4"/>
      <c r="B115" s="4"/>
      <c r="C115" s="7"/>
      <c r="D115" s="678"/>
      <c r="E115" s="318" t="s">
        <v>680</v>
      </c>
      <c r="F115" s="16" t="s">
        <v>1281</v>
      </c>
      <c r="G115" s="114">
        <v>4</v>
      </c>
      <c r="H115" s="114">
        <v>4</v>
      </c>
      <c r="I115" s="443">
        <v>4</v>
      </c>
      <c r="J115" s="429">
        <v>4</v>
      </c>
      <c r="K115" s="114">
        <v>4</v>
      </c>
      <c r="L115" s="114">
        <v>4</v>
      </c>
      <c r="M115" s="114">
        <v>4</v>
      </c>
      <c r="N115" s="114">
        <v>4</v>
      </c>
      <c r="O115" s="114">
        <v>4</v>
      </c>
      <c r="P115" s="114">
        <v>4</v>
      </c>
      <c r="Q115" s="114">
        <v>4</v>
      </c>
      <c r="R115" s="114">
        <v>4</v>
      </c>
      <c r="S115" s="114">
        <v>4</v>
      </c>
      <c r="T115" s="395" t="s">
        <v>1264</v>
      </c>
      <c r="U115" s="7"/>
      <c r="V115" s="4"/>
    </row>
    <row r="116" spans="1:22" outlineLevel="1">
      <c r="A116" s="4"/>
      <c r="B116" s="4"/>
      <c r="C116" s="7"/>
      <c r="D116" s="678"/>
      <c r="E116" s="318" t="s">
        <v>682</v>
      </c>
      <c r="F116" s="16" t="s">
        <v>1282</v>
      </c>
      <c r="G116" s="114">
        <v>4</v>
      </c>
      <c r="H116" s="114">
        <v>4</v>
      </c>
      <c r="I116" s="443">
        <v>4</v>
      </c>
      <c r="J116" s="429">
        <v>4</v>
      </c>
      <c r="K116" s="114">
        <v>4</v>
      </c>
      <c r="L116" s="114">
        <v>4</v>
      </c>
      <c r="M116" s="114">
        <v>4</v>
      </c>
      <c r="N116" s="114">
        <v>4</v>
      </c>
      <c r="O116" s="114">
        <v>4</v>
      </c>
      <c r="P116" s="114">
        <v>4</v>
      </c>
      <c r="Q116" s="114">
        <v>4</v>
      </c>
      <c r="R116" s="114">
        <v>4</v>
      </c>
      <c r="S116" s="114">
        <v>4</v>
      </c>
      <c r="T116" s="395" t="s">
        <v>1264</v>
      </c>
      <c r="U116" s="7"/>
      <c r="V116" s="4"/>
    </row>
    <row r="117" spans="1:22" outlineLevel="1">
      <c r="A117" s="4"/>
      <c r="B117" s="4"/>
      <c r="C117" s="7"/>
      <c r="D117" s="678"/>
      <c r="E117" s="318" t="s">
        <v>684</v>
      </c>
      <c r="F117" s="16" t="s">
        <v>1283</v>
      </c>
      <c r="G117" s="114">
        <v>4</v>
      </c>
      <c r="H117" s="114">
        <v>4</v>
      </c>
      <c r="I117" s="443">
        <v>4</v>
      </c>
      <c r="J117" s="429">
        <v>4</v>
      </c>
      <c r="K117" s="114">
        <v>4</v>
      </c>
      <c r="L117" s="114">
        <v>4</v>
      </c>
      <c r="M117" s="114">
        <v>4</v>
      </c>
      <c r="N117" s="114">
        <v>4</v>
      </c>
      <c r="O117" s="114">
        <v>4</v>
      </c>
      <c r="P117" s="114">
        <v>4</v>
      </c>
      <c r="Q117" s="114">
        <v>4</v>
      </c>
      <c r="R117" s="114">
        <v>4</v>
      </c>
      <c r="S117" s="114">
        <v>4</v>
      </c>
      <c r="T117" s="395" t="s">
        <v>1264</v>
      </c>
      <c r="U117" s="7"/>
      <c r="V117" s="4"/>
    </row>
    <row r="118" spans="1:22" outlineLevel="1">
      <c r="A118" s="4"/>
      <c r="B118" s="4"/>
      <c r="C118" s="7"/>
      <c r="D118" s="678"/>
      <c r="E118" s="318" t="s">
        <v>686</v>
      </c>
      <c r="F118" s="16" t="s">
        <v>1284</v>
      </c>
      <c r="G118" s="114">
        <v>4</v>
      </c>
      <c r="H118" s="114">
        <v>4</v>
      </c>
      <c r="I118" s="443">
        <v>4</v>
      </c>
      <c r="J118" s="429">
        <v>4</v>
      </c>
      <c r="K118" s="114">
        <v>4</v>
      </c>
      <c r="L118" s="114">
        <v>4</v>
      </c>
      <c r="M118" s="114">
        <v>4</v>
      </c>
      <c r="N118" s="114">
        <v>4</v>
      </c>
      <c r="O118" s="114">
        <v>4</v>
      </c>
      <c r="P118" s="114">
        <v>4</v>
      </c>
      <c r="Q118" s="114">
        <v>4</v>
      </c>
      <c r="R118" s="114">
        <v>4</v>
      </c>
      <c r="S118" s="114">
        <v>4</v>
      </c>
      <c r="T118" s="395" t="s">
        <v>1264</v>
      </c>
      <c r="U118" s="7"/>
      <c r="V118" s="4"/>
    </row>
    <row r="119" spans="1:22" outlineLevel="1">
      <c r="A119" s="4"/>
      <c r="B119" s="4"/>
      <c r="C119" s="7"/>
      <c r="D119" s="678"/>
      <c r="E119" s="318" t="s">
        <v>688</v>
      </c>
      <c r="F119" s="16" t="s">
        <v>1285</v>
      </c>
      <c r="G119" s="114">
        <v>4</v>
      </c>
      <c r="H119" s="114">
        <v>4</v>
      </c>
      <c r="I119" s="443">
        <v>4</v>
      </c>
      <c r="J119" s="429">
        <v>4</v>
      </c>
      <c r="K119" s="114">
        <v>4</v>
      </c>
      <c r="L119" s="114">
        <v>4</v>
      </c>
      <c r="M119" s="114">
        <v>4</v>
      </c>
      <c r="N119" s="114">
        <v>4</v>
      </c>
      <c r="O119" s="114">
        <v>4</v>
      </c>
      <c r="P119" s="114">
        <v>4</v>
      </c>
      <c r="Q119" s="114">
        <v>4</v>
      </c>
      <c r="R119" s="114">
        <v>4</v>
      </c>
      <c r="S119" s="114">
        <v>4</v>
      </c>
      <c r="T119" s="395" t="s">
        <v>1264</v>
      </c>
      <c r="U119" s="7"/>
      <c r="V119" s="4"/>
    </row>
    <row r="120" spans="1:22" outlineLevel="1">
      <c r="A120" s="4"/>
      <c r="B120" s="4"/>
      <c r="C120" s="7"/>
      <c r="D120" s="678"/>
      <c r="E120" s="318" t="s">
        <v>690</v>
      </c>
      <c r="F120" s="16" t="s">
        <v>386</v>
      </c>
      <c r="G120" s="114">
        <v>4</v>
      </c>
      <c r="H120" s="114">
        <v>4</v>
      </c>
      <c r="I120" s="443">
        <v>4</v>
      </c>
      <c r="J120" s="429">
        <v>4</v>
      </c>
      <c r="K120" s="114">
        <v>4</v>
      </c>
      <c r="L120" s="114">
        <v>4</v>
      </c>
      <c r="M120" s="114">
        <v>4</v>
      </c>
      <c r="N120" s="114">
        <v>4</v>
      </c>
      <c r="O120" s="114">
        <v>4</v>
      </c>
      <c r="P120" s="114">
        <v>4</v>
      </c>
      <c r="Q120" s="114">
        <v>4</v>
      </c>
      <c r="R120" s="114">
        <v>4</v>
      </c>
      <c r="S120" s="114">
        <v>4</v>
      </c>
      <c r="T120" s="395" t="s">
        <v>1264</v>
      </c>
      <c r="U120" s="7"/>
      <c r="V120" s="4"/>
    </row>
    <row r="121" spans="1:22" outlineLevel="1">
      <c r="A121" s="4"/>
      <c r="B121" s="4"/>
      <c r="C121" s="7"/>
      <c r="D121" s="678"/>
      <c r="E121" s="319" t="s">
        <v>648</v>
      </c>
      <c r="F121" s="320" t="s">
        <v>364</v>
      </c>
      <c r="G121" s="117">
        <v>4</v>
      </c>
      <c r="H121" s="117">
        <v>4</v>
      </c>
      <c r="I121" s="443">
        <v>4</v>
      </c>
      <c r="J121" s="429">
        <v>4</v>
      </c>
      <c r="K121" s="117">
        <v>1</v>
      </c>
      <c r="L121" s="117">
        <v>1</v>
      </c>
      <c r="M121" s="117">
        <v>1</v>
      </c>
      <c r="N121" s="117">
        <v>1</v>
      </c>
      <c r="O121" s="117">
        <v>1</v>
      </c>
      <c r="P121" s="117">
        <v>1</v>
      </c>
      <c r="Q121" s="117">
        <v>1</v>
      </c>
      <c r="R121" s="117">
        <v>1</v>
      </c>
      <c r="S121" s="117">
        <v>1</v>
      </c>
      <c r="T121" s="397" t="s">
        <v>1286</v>
      </c>
      <c r="U121" s="7"/>
      <c r="V121" s="4"/>
    </row>
    <row r="122" spans="1:22" ht="43.5" outlineLevel="1">
      <c r="A122" s="4"/>
      <c r="B122" s="4"/>
      <c r="C122" s="7"/>
      <c r="D122" s="679"/>
      <c r="E122" s="485" t="s">
        <v>1414</v>
      </c>
      <c r="F122" s="16"/>
      <c r="G122" s="114"/>
      <c r="H122" s="111" t="s">
        <v>1415</v>
      </c>
      <c r="I122" s="474"/>
      <c r="J122" s="475"/>
      <c r="K122" s="111" t="s">
        <v>1416</v>
      </c>
      <c r="L122" s="111" t="s">
        <v>1417</v>
      </c>
      <c r="M122" s="111" t="s">
        <v>1418</v>
      </c>
      <c r="N122" s="111" t="s">
        <v>1419</v>
      </c>
      <c r="O122" s="111" t="s">
        <v>1420</v>
      </c>
      <c r="P122" s="111" t="s">
        <v>1421</v>
      </c>
      <c r="Q122" s="114"/>
      <c r="R122" s="114"/>
      <c r="S122" s="114"/>
      <c r="T122" s="483" t="s">
        <v>1422</v>
      </c>
      <c r="U122" s="7"/>
      <c r="V122" s="4"/>
    </row>
    <row r="123" spans="1:22" ht="14.45" customHeight="1" outlineLevel="1">
      <c r="A123" s="4"/>
      <c r="B123" s="4"/>
      <c r="C123" s="7"/>
      <c r="D123" s="680" t="s">
        <v>185</v>
      </c>
      <c r="E123" s="315" t="s">
        <v>706</v>
      </c>
      <c r="F123" s="316" t="s">
        <v>1287</v>
      </c>
      <c r="G123" s="317">
        <v>1</v>
      </c>
      <c r="H123" s="317">
        <v>1</v>
      </c>
      <c r="I123" s="446"/>
      <c r="J123" s="434"/>
      <c r="K123" s="317">
        <v>1</v>
      </c>
      <c r="L123" s="317">
        <v>1</v>
      </c>
      <c r="M123" s="317">
        <v>1</v>
      </c>
      <c r="N123" s="317">
        <v>1</v>
      </c>
      <c r="O123" s="317">
        <v>1</v>
      </c>
      <c r="P123" s="317">
        <v>1</v>
      </c>
      <c r="Q123" s="317">
        <v>4</v>
      </c>
      <c r="R123" s="317">
        <v>4</v>
      </c>
      <c r="S123" s="317">
        <v>1</v>
      </c>
      <c r="T123" s="396" t="s">
        <v>1300</v>
      </c>
      <c r="U123" s="7"/>
      <c r="V123" s="4"/>
    </row>
    <row r="124" spans="1:22" ht="14.45" customHeight="1" outlineLevel="1">
      <c r="A124" s="4"/>
      <c r="B124" s="4"/>
      <c r="C124" s="7"/>
      <c r="D124" s="681"/>
      <c r="E124" s="16" t="s">
        <v>708</v>
      </c>
      <c r="F124" s="16" t="s">
        <v>1289</v>
      </c>
      <c r="G124" s="114">
        <v>1</v>
      </c>
      <c r="H124" s="114">
        <v>1</v>
      </c>
      <c r="I124" s="443"/>
      <c r="J124" s="429"/>
      <c r="K124" s="114">
        <v>1</v>
      </c>
      <c r="L124" s="114">
        <v>1</v>
      </c>
      <c r="M124" s="114">
        <v>1</v>
      </c>
      <c r="N124" s="114">
        <v>1</v>
      </c>
      <c r="O124" s="114">
        <v>4</v>
      </c>
      <c r="P124" s="114">
        <v>4</v>
      </c>
      <c r="Q124" s="114">
        <v>4</v>
      </c>
      <c r="R124" s="114">
        <v>4</v>
      </c>
      <c r="S124" s="114">
        <v>4</v>
      </c>
      <c r="T124" s="395" t="s">
        <v>1300</v>
      </c>
      <c r="U124" s="7"/>
      <c r="V124" s="4"/>
    </row>
    <row r="125" spans="1:22" ht="14.45" customHeight="1" outlineLevel="1">
      <c r="A125" s="4"/>
      <c r="B125" s="4"/>
      <c r="C125" s="7"/>
      <c r="D125" s="681"/>
      <c r="E125" s="318"/>
      <c r="F125" s="16" t="s">
        <v>1290</v>
      </c>
      <c r="G125" s="114">
        <v>4</v>
      </c>
      <c r="H125" s="114">
        <v>4</v>
      </c>
      <c r="I125" s="443"/>
      <c r="J125" s="429"/>
      <c r="K125" s="114">
        <v>4</v>
      </c>
      <c r="L125" s="114">
        <v>4</v>
      </c>
      <c r="M125" s="114">
        <v>4</v>
      </c>
      <c r="N125" s="114">
        <v>4</v>
      </c>
      <c r="O125" s="114">
        <v>4</v>
      </c>
      <c r="P125" s="114">
        <v>4</v>
      </c>
      <c r="Q125" s="114">
        <v>4</v>
      </c>
      <c r="R125" s="114">
        <v>4</v>
      </c>
      <c r="S125" s="114">
        <v>4</v>
      </c>
      <c r="T125" s="395"/>
      <c r="U125" s="7"/>
      <c r="V125" s="4"/>
    </row>
    <row r="126" spans="1:22" ht="14.45" customHeight="1" outlineLevel="1">
      <c r="A126" s="4"/>
      <c r="B126" s="4"/>
      <c r="C126" s="7"/>
      <c r="D126" s="681"/>
      <c r="E126" s="318"/>
      <c r="F126" s="16" t="s">
        <v>1291</v>
      </c>
      <c r="G126" s="114">
        <v>4</v>
      </c>
      <c r="H126" s="114">
        <v>4</v>
      </c>
      <c r="I126" s="443"/>
      <c r="J126" s="429"/>
      <c r="K126" s="114">
        <v>4</v>
      </c>
      <c r="L126" s="114">
        <v>4</v>
      </c>
      <c r="M126" s="114">
        <v>4</v>
      </c>
      <c r="N126" s="114">
        <v>4</v>
      </c>
      <c r="O126" s="114">
        <v>4</v>
      </c>
      <c r="P126" s="114">
        <v>4</v>
      </c>
      <c r="Q126" s="114">
        <v>4</v>
      </c>
      <c r="R126" s="114">
        <v>4</v>
      </c>
      <c r="S126" s="114">
        <v>4</v>
      </c>
      <c r="T126" s="395"/>
      <c r="U126" s="7"/>
      <c r="V126" s="4"/>
    </row>
    <row r="127" spans="1:22" outlineLevel="1">
      <c r="A127" s="4"/>
      <c r="B127" s="4"/>
      <c r="C127" s="7"/>
      <c r="D127" s="681"/>
      <c r="E127" s="318"/>
      <c r="F127" s="16" t="s">
        <v>1292</v>
      </c>
      <c r="G127" s="114">
        <v>4</v>
      </c>
      <c r="H127" s="114">
        <v>4</v>
      </c>
      <c r="I127" s="443"/>
      <c r="J127" s="429"/>
      <c r="K127" s="114">
        <v>4</v>
      </c>
      <c r="L127" s="114">
        <v>4</v>
      </c>
      <c r="M127" s="114">
        <v>4</v>
      </c>
      <c r="N127" s="114">
        <v>4</v>
      </c>
      <c r="O127" s="114">
        <v>4</v>
      </c>
      <c r="P127" s="114">
        <v>4</v>
      </c>
      <c r="Q127" s="114">
        <v>4</v>
      </c>
      <c r="R127" s="114">
        <v>4</v>
      </c>
      <c r="S127" s="114">
        <v>4</v>
      </c>
      <c r="T127" s="395"/>
      <c r="U127" s="7"/>
      <c r="V127" s="4"/>
    </row>
    <row r="128" spans="1:22" outlineLevel="1">
      <c r="A128" s="4"/>
      <c r="B128" s="4"/>
      <c r="C128" s="7"/>
      <c r="D128" s="681"/>
      <c r="E128" s="318" t="s">
        <v>714</v>
      </c>
      <c r="F128" s="16" t="s">
        <v>1293</v>
      </c>
      <c r="G128" s="114">
        <v>4</v>
      </c>
      <c r="H128" s="114">
        <v>4</v>
      </c>
      <c r="I128" s="443"/>
      <c r="J128" s="429"/>
      <c r="K128" s="114">
        <v>4</v>
      </c>
      <c r="L128" s="114">
        <v>4</v>
      </c>
      <c r="M128" s="114">
        <v>4</v>
      </c>
      <c r="N128" s="114">
        <v>4</v>
      </c>
      <c r="O128" s="114">
        <v>1</v>
      </c>
      <c r="P128" s="114">
        <v>1</v>
      </c>
      <c r="Q128" s="114">
        <v>4</v>
      </c>
      <c r="R128" s="114">
        <v>4</v>
      </c>
      <c r="S128" s="114">
        <v>4</v>
      </c>
      <c r="T128" s="395" t="s">
        <v>1300</v>
      </c>
      <c r="U128" s="7"/>
      <c r="V128" s="4"/>
    </row>
    <row r="129" spans="1:22" outlineLevel="1">
      <c r="A129" s="4"/>
      <c r="B129" s="4"/>
      <c r="C129" s="7"/>
      <c r="D129" s="681"/>
      <c r="E129" s="318"/>
      <c r="F129" s="16" t="s">
        <v>1294</v>
      </c>
      <c r="G129" s="114">
        <v>4</v>
      </c>
      <c r="H129" s="114">
        <v>4</v>
      </c>
      <c r="I129" s="443"/>
      <c r="J129" s="429"/>
      <c r="K129" s="114">
        <v>4</v>
      </c>
      <c r="L129" s="114">
        <v>4</v>
      </c>
      <c r="M129" s="114">
        <v>4</v>
      </c>
      <c r="N129" s="114">
        <v>4</v>
      </c>
      <c r="O129" s="114">
        <v>4</v>
      </c>
      <c r="P129" s="114">
        <v>4</v>
      </c>
      <c r="Q129" s="114">
        <v>4</v>
      </c>
      <c r="R129" s="114">
        <v>4</v>
      </c>
      <c r="S129" s="114">
        <v>4</v>
      </c>
      <c r="T129" s="395"/>
      <c r="U129" s="7"/>
      <c r="V129" s="4"/>
    </row>
    <row r="130" spans="1:22" outlineLevel="1">
      <c r="A130" s="4"/>
      <c r="B130" s="4"/>
      <c r="C130" s="7"/>
      <c r="D130" s="681"/>
      <c r="E130" s="318" t="s">
        <v>712</v>
      </c>
      <c r="F130" s="16" t="s">
        <v>1295</v>
      </c>
      <c r="G130" s="114">
        <v>4</v>
      </c>
      <c r="H130" s="114">
        <v>4</v>
      </c>
      <c r="I130" s="443"/>
      <c r="J130" s="429"/>
      <c r="K130" s="114">
        <v>4</v>
      </c>
      <c r="L130" s="114">
        <v>4</v>
      </c>
      <c r="M130" s="114">
        <v>4</v>
      </c>
      <c r="N130" s="114">
        <v>4</v>
      </c>
      <c r="O130" s="114">
        <v>4</v>
      </c>
      <c r="P130" s="114">
        <v>4</v>
      </c>
      <c r="Q130" s="114">
        <v>4</v>
      </c>
      <c r="R130" s="114">
        <v>4</v>
      </c>
      <c r="S130" s="114">
        <v>4</v>
      </c>
      <c r="T130" s="395"/>
      <c r="U130" s="7"/>
      <c r="V130" s="4"/>
    </row>
    <row r="131" spans="1:22" outlineLevel="1">
      <c r="A131" s="4"/>
      <c r="B131" s="4"/>
      <c r="C131" s="7"/>
      <c r="D131" s="681"/>
      <c r="E131" s="318" t="s">
        <v>710</v>
      </c>
      <c r="F131" s="16" t="s">
        <v>1296</v>
      </c>
      <c r="G131" s="114">
        <v>4</v>
      </c>
      <c r="H131" s="114">
        <v>4</v>
      </c>
      <c r="I131" s="443"/>
      <c r="J131" s="429"/>
      <c r="K131" s="114">
        <v>4</v>
      </c>
      <c r="L131" s="114">
        <v>4</v>
      </c>
      <c r="M131" s="114">
        <v>4</v>
      </c>
      <c r="N131" s="114">
        <v>4</v>
      </c>
      <c r="O131" s="114">
        <v>4</v>
      </c>
      <c r="P131" s="114">
        <v>4</v>
      </c>
      <c r="Q131" s="114">
        <v>4</v>
      </c>
      <c r="R131" s="114">
        <v>4</v>
      </c>
      <c r="S131" s="114">
        <v>4</v>
      </c>
      <c r="T131" s="395" t="s">
        <v>1297</v>
      </c>
      <c r="U131" s="7"/>
      <c r="V131" s="4"/>
    </row>
    <row r="132" spans="1:22" ht="57.95" outlineLevel="1">
      <c r="A132" s="4"/>
      <c r="B132" s="4"/>
      <c r="C132" s="7"/>
      <c r="D132" s="682"/>
      <c r="E132" s="477" t="s">
        <v>1414</v>
      </c>
      <c r="F132" s="470"/>
      <c r="G132" s="476" t="s">
        <v>1423</v>
      </c>
      <c r="H132" s="481" t="s">
        <v>1424</v>
      </c>
      <c r="I132" s="474"/>
      <c r="J132" s="475"/>
      <c r="K132" s="119"/>
      <c r="L132" s="119"/>
      <c r="M132" s="119"/>
      <c r="N132" s="476" t="s">
        <v>1425</v>
      </c>
      <c r="O132" s="476" t="s">
        <v>1426</v>
      </c>
      <c r="P132" s="476" t="s">
        <v>1427</v>
      </c>
      <c r="Q132" s="119"/>
      <c r="R132" s="119"/>
      <c r="S132" s="119"/>
      <c r="T132" s="473"/>
      <c r="U132" s="7"/>
      <c r="V132" s="4"/>
    </row>
    <row r="133" spans="1:22" ht="14.45" customHeight="1" outlineLevel="1">
      <c r="A133" s="4"/>
      <c r="B133" s="4"/>
      <c r="C133" s="7"/>
      <c r="D133" s="677" t="s">
        <v>350</v>
      </c>
      <c r="E133" s="315" t="s">
        <v>1298</v>
      </c>
      <c r="F133" s="316" t="s">
        <v>1299</v>
      </c>
      <c r="G133" s="317">
        <v>1</v>
      </c>
      <c r="H133" s="317">
        <v>1</v>
      </c>
      <c r="I133" s="446">
        <v>1</v>
      </c>
      <c r="J133" s="434">
        <v>1</v>
      </c>
      <c r="K133" s="317">
        <v>1</v>
      </c>
      <c r="L133" s="317">
        <v>1</v>
      </c>
      <c r="M133" s="317">
        <v>1</v>
      </c>
      <c r="N133" s="317">
        <v>1</v>
      </c>
      <c r="O133" s="317">
        <v>1</v>
      </c>
      <c r="P133" s="317">
        <v>1</v>
      </c>
      <c r="Q133" s="317">
        <v>1</v>
      </c>
      <c r="R133" s="317">
        <v>1</v>
      </c>
      <c r="S133" s="317">
        <v>1</v>
      </c>
      <c r="T133" s="396" t="s">
        <v>1300</v>
      </c>
      <c r="U133" s="7"/>
      <c r="V133" s="4"/>
    </row>
    <row r="134" spans="1:22" outlineLevel="1">
      <c r="A134" s="4"/>
      <c r="B134" s="4"/>
      <c r="C134" s="7"/>
      <c r="D134" s="678"/>
      <c r="E134" s="318" t="s">
        <v>1301</v>
      </c>
      <c r="F134" s="16" t="s">
        <v>1302</v>
      </c>
      <c r="G134" s="114">
        <v>1</v>
      </c>
      <c r="H134" s="114">
        <v>1</v>
      </c>
      <c r="I134" s="443">
        <v>1</v>
      </c>
      <c r="J134" s="429">
        <v>1</v>
      </c>
      <c r="K134" s="114">
        <v>1</v>
      </c>
      <c r="L134" s="114">
        <v>1</v>
      </c>
      <c r="M134" s="114">
        <v>1</v>
      </c>
      <c r="N134" s="114">
        <v>1</v>
      </c>
      <c r="O134" s="114">
        <v>1</v>
      </c>
      <c r="P134" s="114">
        <v>1</v>
      </c>
      <c r="Q134" s="114">
        <v>1</v>
      </c>
      <c r="R134" s="114">
        <v>1</v>
      </c>
      <c r="S134" s="114">
        <v>1</v>
      </c>
      <c r="T134" s="395" t="s">
        <v>1300</v>
      </c>
      <c r="U134" s="7"/>
      <c r="V134" s="4"/>
    </row>
    <row r="135" spans="1:22" outlineLevel="1">
      <c r="A135" s="4"/>
      <c r="B135" s="4"/>
      <c r="C135" s="7"/>
      <c r="D135" s="678"/>
      <c r="E135" s="318" t="s">
        <v>784</v>
      </c>
      <c r="F135" s="16" t="s">
        <v>1303</v>
      </c>
      <c r="G135" s="114">
        <v>1</v>
      </c>
      <c r="H135" s="114">
        <v>1</v>
      </c>
      <c r="I135" s="443">
        <v>1</v>
      </c>
      <c r="J135" s="429">
        <v>1</v>
      </c>
      <c r="K135" s="114">
        <v>1</v>
      </c>
      <c r="L135" s="114">
        <v>1</v>
      </c>
      <c r="M135" s="114">
        <v>1</v>
      </c>
      <c r="N135" s="114">
        <v>1</v>
      </c>
      <c r="O135" s="114">
        <v>1</v>
      </c>
      <c r="P135" s="114">
        <v>1</v>
      </c>
      <c r="Q135" s="114">
        <v>1</v>
      </c>
      <c r="R135" s="114">
        <v>1</v>
      </c>
      <c r="S135" s="114">
        <v>1</v>
      </c>
      <c r="T135" s="395" t="s">
        <v>1300</v>
      </c>
      <c r="U135" s="7"/>
      <c r="V135" s="4"/>
    </row>
    <row r="136" spans="1:22" outlineLevel="1">
      <c r="A136" s="4"/>
      <c r="B136" s="4"/>
      <c r="C136" s="7"/>
      <c r="D136" s="678"/>
      <c r="E136" s="318" t="s">
        <v>782</v>
      </c>
      <c r="F136" s="16" t="s">
        <v>1304</v>
      </c>
      <c r="G136" s="114">
        <v>1</v>
      </c>
      <c r="H136" s="114">
        <v>1</v>
      </c>
      <c r="I136" s="443">
        <v>1</v>
      </c>
      <c r="J136" s="429">
        <v>1</v>
      </c>
      <c r="K136" s="114">
        <v>1</v>
      </c>
      <c r="L136" s="114">
        <v>1</v>
      </c>
      <c r="M136" s="114">
        <v>1</v>
      </c>
      <c r="N136" s="114">
        <v>1</v>
      </c>
      <c r="O136" s="114">
        <v>1</v>
      </c>
      <c r="P136" s="114">
        <v>1</v>
      </c>
      <c r="Q136" s="114">
        <v>1</v>
      </c>
      <c r="R136" s="114">
        <v>1</v>
      </c>
      <c r="S136" s="114">
        <v>1</v>
      </c>
      <c r="T136" s="395" t="s">
        <v>1300</v>
      </c>
      <c r="U136" s="7"/>
      <c r="V136" s="4"/>
    </row>
    <row r="137" spans="1:22" outlineLevel="1">
      <c r="A137" s="4"/>
      <c r="B137" s="4"/>
      <c r="C137" s="7"/>
      <c r="D137" s="678"/>
      <c r="E137" s="319" t="s">
        <v>780</v>
      </c>
      <c r="F137" s="320" t="s">
        <v>1305</v>
      </c>
      <c r="G137" s="117">
        <v>4</v>
      </c>
      <c r="H137" s="117">
        <v>4</v>
      </c>
      <c r="I137" s="447">
        <v>4</v>
      </c>
      <c r="J137" s="435">
        <v>4</v>
      </c>
      <c r="K137" s="117">
        <v>1</v>
      </c>
      <c r="L137" s="117">
        <v>4</v>
      </c>
      <c r="M137" s="117">
        <v>1</v>
      </c>
      <c r="N137" s="117">
        <v>4</v>
      </c>
      <c r="O137" s="117">
        <v>4</v>
      </c>
      <c r="P137" s="117">
        <v>4</v>
      </c>
      <c r="Q137" s="117">
        <v>4</v>
      </c>
      <c r="R137" s="117">
        <v>4</v>
      </c>
      <c r="S137" s="117">
        <v>1</v>
      </c>
      <c r="T137" s="397" t="s">
        <v>1300</v>
      </c>
      <c r="U137" s="7"/>
      <c r="V137" s="4"/>
    </row>
    <row r="138" spans="1:22" ht="29.1" outlineLevel="1">
      <c r="A138" s="4"/>
      <c r="B138" s="4"/>
      <c r="C138" s="7"/>
      <c r="D138" s="679"/>
      <c r="E138" s="477" t="s">
        <v>1414</v>
      </c>
      <c r="F138" s="470"/>
      <c r="G138" s="119"/>
      <c r="H138" s="119"/>
      <c r="I138" s="474"/>
      <c r="J138" s="475"/>
      <c r="K138" s="482" t="s">
        <v>1428</v>
      </c>
      <c r="L138" s="119"/>
      <c r="M138" s="119"/>
      <c r="N138" s="119"/>
      <c r="O138" s="119"/>
      <c r="P138" s="119"/>
      <c r="Q138" s="119"/>
      <c r="R138" s="119"/>
      <c r="S138" s="119"/>
      <c r="T138" s="473"/>
      <c r="U138" s="7"/>
      <c r="V138" s="4"/>
    </row>
    <row r="139" spans="1:22" outlineLevel="1">
      <c r="A139" s="4"/>
      <c r="B139" s="4"/>
      <c r="C139" s="7"/>
      <c r="D139" s="677" t="s">
        <v>351</v>
      </c>
      <c r="E139" s="18" t="s">
        <v>716</v>
      </c>
      <c r="F139" s="18" t="s">
        <v>373</v>
      </c>
      <c r="G139" s="114">
        <v>4</v>
      </c>
      <c r="H139" s="114">
        <v>4</v>
      </c>
      <c r="I139" s="443">
        <v>4</v>
      </c>
      <c r="J139" s="429">
        <v>4</v>
      </c>
      <c r="K139" s="114">
        <v>1</v>
      </c>
      <c r="L139" s="114">
        <v>1</v>
      </c>
      <c r="M139" s="114">
        <v>1</v>
      </c>
      <c r="N139" s="114">
        <v>4</v>
      </c>
      <c r="O139" s="114">
        <v>1</v>
      </c>
      <c r="P139" s="114">
        <v>4</v>
      </c>
      <c r="Q139" s="114">
        <v>4</v>
      </c>
      <c r="R139" s="114">
        <v>4</v>
      </c>
      <c r="S139" s="114">
        <v>1</v>
      </c>
      <c r="T139" s="395" t="s">
        <v>1300</v>
      </c>
      <c r="U139" s="7"/>
      <c r="V139" s="4"/>
    </row>
    <row r="140" spans="1:22" outlineLevel="1">
      <c r="A140" s="4"/>
      <c r="B140" s="4"/>
      <c r="C140" s="7"/>
      <c r="D140" s="678"/>
      <c r="E140" s="18" t="s">
        <v>717</v>
      </c>
      <c r="F140" s="18" t="s">
        <v>374</v>
      </c>
      <c r="G140" s="114">
        <v>4</v>
      </c>
      <c r="H140" s="114">
        <v>4</v>
      </c>
      <c r="I140" s="443">
        <v>4</v>
      </c>
      <c r="J140" s="429">
        <v>4</v>
      </c>
      <c r="K140" s="114">
        <v>1</v>
      </c>
      <c r="L140" s="114">
        <v>1</v>
      </c>
      <c r="M140" s="114">
        <v>1</v>
      </c>
      <c r="N140" s="114">
        <v>4</v>
      </c>
      <c r="O140" s="114">
        <v>1</v>
      </c>
      <c r="P140" s="114">
        <v>4</v>
      </c>
      <c r="Q140" s="114">
        <v>4</v>
      </c>
      <c r="R140" s="114">
        <v>4</v>
      </c>
      <c r="S140" s="114">
        <v>1</v>
      </c>
      <c r="T140" s="395" t="s">
        <v>1300</v>
      </c>
      <c r="U140" s="7"/>
      <c r="V140" s="4"/>
    </row>
    <row r="141" spans="1:22" outlineLevel="1">
      <c r="A141" s="4"/>
      <c r="B141" s="4"/>
      <c r="C141" s="7"/>
      <c r="D141" s="678"/>
      <c r="E141" s="18" t="s">
        <v>718</v>
      </c>
      <c r="F141" s="18" t="s">
        <v>375</v>
      </c>
      <c r="G141" s="114">
        <v>4</v>
      </c>
      <c r="H141" s="114">
        <v>4</v>
      </c>
      <c r="I141" s="443">
        <v>4</v>
      </c>
      <c r="J141" s="429">
        <v>4</v>
      </c>
      <c r="K141" s="114">
        <v>1</v>
      </c>
      <c r="L141" s="114">
        <v>1</v>
      </c>
      <c r="M141" s="114">
        <v>1</v>
      </c>
      <c r="N141" s="114">
        <v>4</v>
      </c>
      <c r="O141" s="114">
        <v>1</v>
      </c>
      <c r="P141" s="114">
        <v>4</v>
      </c>
      <c r="Q141" s="114">
        <v>4</v>
      </c>
      <c r="R141" s="114">
        <v>4</v>
      </c>
      <c r="S141" s="114">
        <v>1</v>
      </c>
      <c r="T141" s="395" t="s">
        <v>1300</v>
      </c>
      <c r="U141" s="7"/>
      <c r="V141" s="4"/>
    </row>
    <row r="142" spans="1:22" outlineLevel="1">
      <c r="A142" s="4"/>
      <c r="B142" s="4"/>
      <c r="C142" s="7"/>
      <c r="D142" s="678"/>
      <c r="E142" s="18" t="s">
        <v>719</v>
      </c>
      <c r="F142" s="18" t="s">
        <v>376</v>
      </c>
      <c r="G142" s="114">
        <v>4</v>
      </c>
      <c r="H142" s="114">
        <v>4</v>
      </c>
      <c r="I142" s="443">
        <v>4</v>
      </c>
      <c r="J142" s="429">
        <v>4</v>
      </c>
      <c r="K142" s="114">
        <v>1</v>
      </c>
      <c r="L142" s="114">
        <v>1</v>
      </c>
      <c r="M142" s="114">
        <v>1</v>
      </c>
      <c r="N142" s="114">
        <v>4</v>
      </c>
      <c r="O142" s="114">
        <v>1</v>
      </c>
      <c r="P142" s="114">
        <v>4</v>
      </c>
      <c r="Q142" s="114">
        <v>4</v>
      </c>
      <c r="R142" s="114">
        <v>4</v>
      </c>
      <c r="S142" s="114">
        <v>1</v>
      </c>
      <c r="T142" s="395" t="s">
        <v>1300</v>
      </c>
      <c r="U142" s="7"/>
      <c r="V142" s="4"/>
    </row>
    <row r="143" spans="1:22" outlineLevel="1">
      <c r="A143" s="4"/>
      <c r="B143" s="4"/>
      <c r="C143" s="7"/>
      <c r="D143" s="678"/>
      <c r="E143" s="18" t="s">
        <v>720</v>
      </c>
      <c r="F143" s="18" t="s">
        <v>377</v>
      </c>
      <c r="G143" s="114">
        <v>1</v>
      </c>
      <c r="H143" s="114">
        <v>1</v>
      </c>
      <c r="I143" s="443">
        <v>1</v>
      </c>
      <c r="J143" s="429">
        <v>1</v>
      </c>
      <c r="K143" s="114">
        <v>1</v>
      </c>
      <c r="L143" s="114">
        <v>1</v>
      </c>
      <c r="M143" s="114">
        <v>1</v>
      </c>
      <c r="N143" s="114">
        <v>1</v>
      </c>
      <c r="O143" s="114">
        <v>1</v>
      </c>
      <c r="P143" s="114">
        <v>1</v>
      </c>
      <c r="Q143" s="114">
        <v>4</v>
      </c>
      <c r="R143" s="114">
        <v>4</v>
      </c>
      <c r="S143" s="114">
        <v>1</v>
      </c>
      <c r="T143" s="395" t="s">
        <v>1300</v>
      </c>
      <c r="U143" s="7"/>
      <c r="V143" s="4"/>
    </row>
    <row r="144" spans="1:22" ht="29.1" outlineLevel="1">
      <c r="A144" s="4"/>
      <c r="B144" s="4"/>
      <c r="C144" s="7"/>
      <c r="D144" s="678"/>
      <c r="E144" s="18" t="s">
        <v>722</v>
      </c>
      <c r="F144" s="18" t="s">
        <v>378</v>
      </c>
      <c r="G144" s="114">
        <v>1</v>
      </c>
      <c r="H144" s="114">
        <v>1</v>
      </c>
      <c r="I144" s="443">
        <v>1</v>
      </c>
      <c r="J144" s="429">
        <v>1</v>
      </c>
      <c r="K144" s="114">
        <v>1</v>
      </c>
      <c r="L144" s="114">
        <v>1</v>
      </c>
      <c r="M144" s="114">
        <v>1</v>
      </c>
      <c r="N144" s="114">
        <v>1</v>
      </c>
      <c r="O144" s="114">
        <v>1</v>
      </c>
      <c r="P144" s="114">
        <v>1</v>
      </c>
      <c r="Q144" s="114">
        <v>4</v>
      </c>
      <c r="R144" s="114">
        <v>4</v>
      </c>
      <c r="S144" s="114">
        <v>1</v>
      </c>
      <c r="T144" s="395" t="s">
        <v>1308</v>
      </c>
      <c r="U144" s="7"/>
      <c r="V144" s="4"/>
    </row>
    <row r="145" spans="1:22" ht="29.1" outlineLevel="1">
      <c r="A145" s="4"/>
      <c r="B145" s="4"/>
      <c r="C145" s="7"/>
      <c r="D145" s="678"/>
      <c r="E145" s="18" t="s">
        <v>723</v>
      </c>
      <c r="F145" s="18" t="s">
        <v>379</v>
      </c>
      <c r="G145" s="114">
        <v>1</v>
      </c>
      <c r="H145" s="114">
        <v>1</v>
      </c>
      <c r="I145" s="443">
        <v>1</v>
      </c>
      <c r="J145" s="429">
        <v>1</v>
      </c>
      <c r="K145" s="114">
        <v>1</v>
      </c>
      <c r="L145" s="114">
        <v>1</v>
      </c>
      <c r="M145" s="114">
        <v>1</v>
      </c>
      <c r="N145" s="114">
        <v>1</v>
      </c>
      <c r="O145" s="114">
        <v>1</v>
      </c>
      <c r="P145" s="114">
        <v>1</v>
      </c>
      <c r="Q145" s="114">
        <v>4</v>
      </c>
      <c r="R145" s="114">
        <v>4</v>
      </c>
      <c r="S145" s="114">
        <v>1</v>
      </c>
      <c r="T145" s="395" t="s">
        <v>1308</v>
      </c>
      <c r="U145" s="7"/>
      <c r="V145" s="4"/>
    </row>
    <row r="146" spans="1:22" outlineLevel="1">
      <c r="A146" s="4"/>
      <c r="B146" s="4"/>
      <c r="C146" s="7"/>
      <c r="D146" s="678"/>
      <c r="E146" s="18" t="s">
        <v>724</v>
      </c>
      <c r="F146" s="18" t="s">
        <v>380</v>
      </c>
      <c r="G146" s="114">
        <v>4</v>
      </c>
      <c r="H146" s="114">
        <v>4</v>
      </c>
      <c r="I146" s="443">
        <v>1</v>
      </c>
      <c r="J146" s="429">
        <v>1</v>
      </c>
      <c r="K146" s="114">
        <v>1</v>
      </c>
      <c r="L146" s="114">
        <v>1</v>
      </c>
      <c r="M146" s="114">
        <v>1</v>
      </c>
      <c r="N146" s="114">
        <v>1</v>
      </c>
      <c r="O146" s="114">
        <v>1</v>
      </c>
      <c r="P146" s="114">
        <v>1</v>
      </c>
      <c r="Q146" s="114">
        <v>4</v>
      </c>
      <c r="R146" s="114">
        <v>4</v>
      </c>
      <c r="S146" s="114">
        <v>1</v>
      </c>
      <c r="T146" s="395" t="s">
        <v>1300</v>
      </c>
      <c r="U146" s="7"/>
      <c r="V146" s="4"/>
    </row>
    <row r="147" spans="1:22" outlineLevel="1">
      <c r="A147" s="4"/>
      <c r="B147" s="4"/>
      <c r="C147" s="7"/>
      <c r="D147" s="678"/>
      <c r="E147" s="18" t="s">
        <v>726</v>
      </c>
      <c r="F147" s="18" t="s">
        <v>725</v>
      </c>
      <c r="G147" s="114">
        <v>4</v>
      </c>
      <c r="H147" s="114">
        <v>4</v>
      </c>
      <c r="I147" s="443">
        <v>1</v>
      </c>
      <c r="J147" s="429">
        <v>1</v>
      </c>
      <c r="K147" s="114">
        <v>1</v>
      </c>
      <c r="L147" s="114">
        <v>1</v>
      </c>
      <c r="M147" s="114">
        <v>1</v>
      </c>
      <c r="N147" s="114">
        <v>1</v>
      </c>
      <c r="O147" s="114">
        <v>1</v>
      </c>
      <c r="P147" s="114">
        <v>1</v>
      </c>
      <c r="Q147" s="114">
        <v>4</v>
      </c>
      <c r="R147" s="114">
        <v>4</v>
      </c>
      <c r="S147" s="114">
        <v>1</v>
      </c>
      <c r="T147" s="395" t="s">
        <v>1300</v>
      </c>
      <c r="U147" s="7"/>
      <c r="V147" s="4"/>
    </row>
    <row r="148" spans="1:22" outlineLevel="1">
      <c r="A148" s="4"/>
      <c r="B148" s="4"/>
      <c r="C148" s="7"/>
      <c r="D148" s="678"/>
      <c r="E148" s="18" t="s">
        <v>727</v>
      </c>
      <c r="F148" s="18" t="s">
        <v>382</v>
      </c>
      <c r="G148" s="114">
        <v>1</v>
      </c>
      <c r="H148" s="114">
        <v>1</v>
      </c>
      <c r="I148" s="443">
        <v>1</v>
      </c>
      <c r="J148" s="429">
        <v>1</v>
      </c>
      <c r="K148" s="114">
        <v>1</v>
      </c>
      <c r="L148" s="114">
        <v>1</v>
      </c>
      <c r="M148" s="114">
        <v>1</v>
      </c>
      <c r="N148" s="114">
        <v>1</v>
      </c>
      <c r="O148" s="114">
        <v>1</v>
      </c>
      <c r="P148" s="114">
        <v>1</v>
      </c>
      <c r="Q148" s="114">
        <v>4</v>
      </c>
      <c r="R148" s="114">
        <v>4</v>
      </c>
      <c r="S148" s="114">
        <v>1</v>
      </c>
      <c r="T148" s="395" t="s">
        <v>1300</v>
      </c>
      <c r="U148" s="7"/>
      <c r="V148" s="4"/>
    </row>
    <row r="149" spans="1:22" outlineLevel="1">
      <c r="A149" s="4"/>
      <c r="B149" s="4"/>
      <c r="C149" s="7"/>
      <c r="D149" s="678"/>
      <c r="E149" s="18" t="s">
        <v>728</v>
      </c>
      <c r="F149" s="18" t="s">
        <v>383</v>
      </c>
      <c r="G149" s="114">
        <v>4</v>
      </c>
      <c r="H149" s="114">
        <v>1</v>
      </c>
      <c r="I149" s="443">
        <v>1</v>
      </c>
      <c r="J149" s="429">
        <v>1</v>
      </c>
      <c r="K149" s="114">
        <v>1</v>
      </c>
      <c r="L149" s="114">
        <v>1</v>
      </c>
      <c r="M149" s="114">
        <v>1</v>
      </c>
      <c r="N149" s="114">
        <v>1</v>
      </c>
      <c r="O149" s="114">
        <v>1</v>
      </c>
      <c r="P149" s="114">
        <v>1</v>
      </c>
      <c r="Q149" s="114">
        <v>4</v>
      </c>
      <c r="R149" s="114">
        <v>4</v>
      </c>
      <c r="S149" s="114">
        <v>1</v>
      </c>
      <c r="T149" s="395" t="s">
        <v>1300</v>
      </c>
      <c r="U149" s="7"/>
      <c r="V149" s="4"/>
    </row>
    <row r="150" spans="1:22" outlineLevel="1">
      <c r="A150" s="4"/>
      <c r="B150" s="4"/>
      <c r="C150" s="7"/>
      <c r="D150" s="678"/>
      <c r="E150" s="18" t="s">
        <v>730</v>
      </c>
      <c r="F150" s="18" t="s">
        <v>729</v>
      </c>
      <c r="G150" s="114">
        <v>1</v>
      </c>
      <c r="H150" s="114">
        <v>1</v>
      </c>
      <c r="I150" s="443">
        <v>1</v>
      </c>
      <c r="J150" s="429">
        <v>1</v>
      </c>
      <c r="K150" s="114">
        <v>1</v>
      </c>
      <c r="L150" s="114">
        <v>1</v>
      </c>
      <c r="M150" s="114">
        <v>1</v>
      </c>
      <c r="N150" s="114">
        <v>1</v>
      </c>
      <c r="O150" s="114">
        <v>1</v>
      </c>
      <c r="P150" s="114">
        <v>1</v>
      </c>
      <c r="Q150" s="114">
        <v>4</v>
      </c>
      <c r="R150" s="114">
        <v>4</v>
      </c>
      <c r="S150" s="114">
        <v>1</v>
      </c>
      <c r="T150" s="395" t="s">
        <v>1300</v>
      </c>
      <c r="U150" s="7"/>
      <c r="V150" s="4"/>
    </row>
    <row r="151" spans="1:22" outlineLevel="1">
      <c r="A151" s="4"/>
      <c r="B151" s="4"/>
      <c r="C151" s="7"/>
      <c r="D151" s="678"/>
      <c r="E151" s="18" t="s">
        <v>730</v>
      </c>
      <c r="F151" s="18" t="s">
        <v>387</v>
      </c>
      <c r="G151" s="114">
        <v>1</v>
      </c>
      <c r="H151" s="114">
        <v>1</v>
      </c>
      <c r="I151" s="443">
        <v>1</v>
      </c>
      <c r="J151" s="429">
        <v>1</v>
      </c>
      <c r="K151" s="114">
        <v>1</v>
      </c>
      <c r="L151" s="114">
        <v>1</v>
      </c>
      <c r="M151" s="114">
        <v>1</v>
      </c>
      <c r="N151" s="114">
        <v>1</v>
      </c>
      <c r="O151" s="114">
        <v>1</v>
      </c>
      <c r="P151" s="114">
        <v>1</v>
      </c>
      <c r="Q151" s="114">
        <v>4</v>
      </c>
      <c r="R151" s="114">
        <v>4</v>
      </c>
      <c r="S151" s="114">
        <v>1</v>
      </c>
      <c r="T151" s="395" t="s">
        <v>1300</v>
      </c>
      <c r="U151" s="7"/>
      <c r="V151" s="4"/>
    </row>
    <row r="152" spans="1:22" outlineLevel="1">
      <c r="A152" s="4"/>
      <c r="B152" s="4"/>
      <c r="C152" s="7"/>
      <c r="D152" s="679"/>
      <c r="E152" s="477" t="s">
        <v>1414</v>
      </c>
      <c r="F152" s="121"/>
      <c r="G152" s="119"/>
      <c r="H152" s="119"/>
      <c r="I152" s="471"/>
      <c r="J152" s="472"/>
      <c r="K152" s="119"/>
      <c r="L152" s="119"/>
      <c r="M152" s="119"/>
      <c r="N152" s="119"/>
      <c r="O152" s="119"/>
      <c r="P152" s="119"/>
      <c r="Q152" s="119"/>
      <c r="R152" s="119"/>
      <c r="S152" s="119"/>
      <c r="T152" s="473"/>
      <c r="U152" s="7"/>
      <c r="V152" s="4"/>
    </row>
    <row r="153" spans="1:22" ht="14.45" customHeight="1" outlineLevel="1">
      <c r="A153" s="4"/>
      <c r="B153" s="4"/>
      <c r="C153" s="7"/>
      <c r="D153" s="677" t="s">
        <v>732</v>
      </c>
      <c r="E153" s="18" t="s">
        <v>778</v>
      </c>
      <c r="F153" s="18" t="s">
        <v>1310</v>
      </c>
      <c r="G153" s="114">
        <v>4</v>
      </c>
      <c r="H153" s="114">
        <v>4</v>
      </c>
      <c r="I153" s="443">
        <v>1</v>
      </c>
      <c r="J153" s="429">
        <v>1</v>
      </c>
      <c r="K153" s="114">
        <v>1</v>
      </c>
      <c r="L153" s="114">
        <v>1</v>
      </c>
      <c r="M153" s="114">
        <v>1</v>
      </c>
      <c r="N153" s="114">
        <v>1</v>
      </c>
      <c r="O153" s="114">
        <v>1</v>
      </c>
      <c r="P153" s="114">
        <v>1</v>
      </c>
      <c r="Q153" s="114">
        <v>4</v>
      </c>
      <c r="R153" s="114">
        <v>4</v>
      </c>
      <c r="S153" s="114">
        <v>1</v>
      </c>
      <c r="T153" s="395" t="s">
        <v>1300</v>
      </c>
      <c r="U153" s="7"/>
      <c r="V153" s="4"/>
    </row>
    <row r="154" spans="1:22" ht="14.45" customHeight="1" outlineLevel="1">
      <c r="A154" s="4"/>
      <c r="B154" s="4"/>
      <c r="C154" s="7"/>
      <c r="D154" s="678"/>
      <c r="E154" s="18" t="s">
        <v>735</v>
      </c>
      <c r="F154" s="111" t="s">
        <v>734</v>
      </c>
      <c r="G154" s="114">
        <v>4</v>
      </c>
      <c r="H154" s="114">
        <v>4</v>
      </c>
      <c r="I154" s="443">
        <v>1</v>
      </c>
      <c r="J154" s="429">
        <v>1</v>
      </c>
      <c r="K154" s="114">
        <v>4</v>
      </c>
      <c r="L154" s="114">
        <v>4</v>
      </c>
      <c r="M154" s="114">
        <v>4</v>
      </c>
      <c r="N154" s="114">
        <v>4</v>
      </c>
      <c r="O154" s="114">
        <v>4</v>
      </c>
      <c r="P154" s="114">
        <v>4</v>
      </c>
      <c r="Q154" s="114">
        <v>4</v>
      </c>
      <c r="R154" s="114">
        <v>4</v>
      </c>
      <c r="S154" s="114">
        <v>1</v>
      </c>
      <c r="T154" s="395" t="s">
        <v>1300</v>
      </c>
      <c r="U154" s="7"/>
      <c r="V154" s="4"/>
    </row>
    <row r="155" spans="1:22" outlineLevel="1">
      <c r="A155" s="4"/>
      <c r="B155" s="4"/>
      <c r="C155" s="7"/>
      <c r="D155" s="678"/>
      <c r="E155" s="18" t="s">
        <v>735</v>
      </c>
      <c r="F155" s="111" t="s">
        <v>736</v>
      </c>
      <c r="G155" s="114">
        <v>1</v>
      </c>
      <c r="H155" s="114">
        <v>1</v>
      </c>
      <c r="I155" s="443">
        <v>1</v>
      </c>
      <c r="J155" s="429">
        <v>1</v>
      </c>
      <c r="K155" s="114">
        <v>1</v>
      </c>
      <c r="L155" s="114">
        <v>1</v>
      </c>
      <c r="M155" s="114">
        <v>1</v>
      </c>
      <c r="N155" s="114">
        <v>1</v>
      </c>
      <c r="O155" s="114">
        <v>1</v>
      </c>
      <c r="P155" s="114">
        <v>1</v>
      </c>
      <c r="Q155" s="114">
        <v>4</v>
      </c>
      <c r="R155" s="114">
        <v>4</v>
      </c>
      <c r="S155" s="114">
        <v>1</v>
      </c>
      <c r="T155" s="395" t="s">
        <v>1300</v>
      </c>
      <c r="U155" s="7"/>
      <c r="V155" s="4"/>
    </row>
    <row r="156" spans="1:22" ht="29.1" outlineLevel="1">
      <c r="A156" s="4"/>
      <c r="B156" s="4"/>
      <c r="C156" s="7"/>
      <c r="D156" s="678"/>
      <c r="E156" s="18" t="s">
        <v>737</v>
      </c>
      <c r="F156" s="111" t="s">
        <v>738</v>
      </c>
      <c r="G156" s="114">
        <v>1</v>
      </c>
      <c r="H156" s="114">
        <v>1</v>
      </c>
      <c r="I156" s="443">
        <v>1</v>
      </c>
      <c r="J156" s="429">
        <v>1</v>
      </c>
      <c r="K156" s="114">
        <v>1</v>
      </c>
      <c r="L156" s="114">
        <v>1</v>
      </c>
      <c r="M156" s="114">
        <v>1</v>
      </c>
      <c r="N156" s="114">
        <v>1</v>
      </c>
      <c r="O156" s="114">
        <v>1</v>
      </c>
      <c r="P156" s="114">
        <v>1</v>
      </c>
      <c r="Q156" s="114">
        <v>4</v>
      </c>
      <c r="R156" s="114">
        <v>4</v>
      </c>
      <c r="S156" s="114">
        <v>1</v>
      </c>
      <c r="T156" s="395" t="s">
        <v>1300</v>
      </c>
      <c r="U156" s="7"/>
      <c r="V156" s="4"/>
    </row>
    <row r="157" spans="1:22" outlineLevel="1">
      <c r="A157" s="4"/>
      <c r="B157" s="4"/>
      <c r="C157" s="7"/>
      <c r="D157" s="678"/>
      <c r="E157" s="18" t="s">
        <v>739</v>
      </c>
      <c r="F157" s="111" t="s">
        <v>740</v>
      </c>
      <c r="G157" s="114">
        <v>1</v>
      </c>
      <c r="H157" s="114">
        <v>1</v>
      </c>
      <c r="I157" s="443">
        <v>1</v>
      </c>
      <c r="J157" s="429">
        <v>1</v>
      </c>
      <c r="K157" s="114">
        <v>1</v>
      </c>
      <c r="L157" s="114">
        <v>1</v>
      </c>
      <c r="M157" s="114">
        <v>1</v>
      </c>
      <c r="N157" s="114">
        <v>1</v>
      </c>
      <c r="O157" s="114">
        <v>1</v>
      </c>
      <c r="P157" s="114">
        <v>1</v>
      </c>
      <c r="Q157" s="114">
        <v>4</v>
      </c>
      <c r="R157" s="114">
        <v>4</v>
      </c>
      <c r="S157" s="114">
        <v>1</v>
      </c>
      <c r="T157" s="395" t="s">
        <v>1300</v>
      </c>
      <c r="U157" s="7"/>
      <c r="V157" s="4"/>
    </row>
    <row r="158" spans="1:22" ht="29.1" outlineLevel="1">
      <c r="A158" s="4"/>
      <c r="B158" s="4"/>
      <c r="C158" s="7"/>
      <c r="D158" s="678"/>
      <c r="E158" s="18" t="s">
        <v>741</v>
      </c>
      <c r="F158" s="111" t="s">
        <v>742</v>
      </c>
      <c r="G158" s="114">
        <v>1</v>
      </c>
      <c r="H158" s="114">
        <v>1</v>
      </c>
      <c r="I158" s="443">
        <v>1</v>
      </c>
      <c r="J158" s="429">
        <v>1</v>
      </c>
      <c r="K158" s="114">
        <v>1</v>
      </c>
      <c r="L158" s="114">
        <v>1</v>
      </c>
      <c r="M158" s="114">
        <v>1</v>
      </c>
      <c r="N158" s="114">
        <v>1</v>
      </c>
      <c r="O158" s="114">
        <v>1</v>
      </c>
      <c r="P158" s="114">
        <v>1</v>
      </c>
      <c r="Q158" s="114">
        <v>4</v>
      </c>
      <c r="R158" s="114">
        <v>4</v>
      </c>
      <c r="S158" s="114">
        <v>1</v>
      </c>
      <c r="T158" s="395" t="s">
        <v>1300</v>
      </c>
      <c r="U158" s="7"/>
      <c r="V158" s="4"/>
    </row>
    <row r="159" spans="1:22" ht="43.5" outlineLevel="1">
      <c r="A159" s="4"/>
      <c r="B159" s="4"/>
      <c r="C159" s="7"/>
      <c r="D159" s="678"/>
      <c r="E159" s="18" t="s">
        <v>743</v>
      </c>
      <c r="F159" s="111" t="s">
        <v>744</v>
      </c>
      <c r="G159" s="114">
        <v>1</v>
      </c>
      <c r="H159" s="114">
        <v>1</v>
      </c>
      <c r="I159" s="443">
        <v>1</v>
      </c>
      <c r="J159" s="429">
        <v>1</v>
      </c>
      <c r="K159" s="114">
        <v>1</v>
      </c>
      <c r="L159" s="114">
        <v>1</v>
      </c>
      <c r="M159" s="114">
        <v>1</v>
      </c>
      <c r="N159" s="114">
        <v>1</v>
      </c>
      <c r="O159" s="114">
        <v>1</v>
      </c>
      <c r="P159" s="114">
        <v>1</v>
      </c>
      <c r="Q159" s="114">
        <v>4</v>
      </c>
      <c r="R159" s="114">
        <v>4</v>
      </c>
      <c r="S159" s="114">
        <v>1</v>
      </c>
      <c r="T159" s="395" t="s">
        <v>1300</v>
      </c>
      <c r="U159" s="7"/>
      <c r="V159" s="4"/>
    </row>
    <row r="160" spans="1:22" ht="43.5" outlineLevel="1">
      <c r="A160" s="4"/>
      <c r="B160" s="4"/>
      <c r="C160" s="7"/>
      <c r="D160" s="678"/>
      <c r="E160" s="18" t="s">
        <v>745</v>
      </c>
      <c r="F160" s="111" t="s">
        <v>395</v>
      </c>
      <c r="G160" s="114">
        <v>1</v>
      </c>
      <c r="H160" s="114">
        <v>1</v>
      </c>
      <c r="I160" s="443">
        <v>1</v>
      </c>
      <c r="J160" s="429">
        <v>1</v>
      </c>
      <c r="K160" s="114">
        <v>1</v>
      </c>
      <c r="L160" s="114">
        <v>1</v>
      </c>
      <c r="M160" s="114">
        <v>1</v>
      </c>
      <c r="N160" s="114">
        <v>1</v>
      </c>
      <c r="O160" s="114">
        <v>1</v>
      </c>
      <c r="P160" s="114">
        <v>1</v>
      </c>
      <c r="Q160" s="114">
        <v>4</v>
      </c>
      <c r="R160" s="114">
        <v>4</v>
      </c>
      <c r="S160" s="114">
        <v>1</v>
      </c>
      <c r="T160" s="395" t="s">
        <v>1300</v>
      </c>
      <c r="U160" s="7"/>
      <c r="V160" s="4"/>
    </row>
    <row r="161" spans="1:22" ht="101.45" outlineLevel="1">
      <c r="A161" s="4"/>
      <c r="B161" s="4"/>
      <c r="C161" s="7"/>
      <c r="D161" s="678"/>
      <c r="E161" s="18" t="s">
        <v>746</v>
      </c>
      <c r="F161" s="111" t="s">
        <v>747</v>
      </c>
      <c r="G161" s="114">
        <v>4</v>
      </c>
      <c r="H161" s="114">
        <v>4</v>
      </c>
      <c r="I161" s="443">
        <v>4</v>
      </c>
      <c r="J161" s="429">
        <v>4</v>
      </c>
      <c r="K161" s="114">
        <v>4</v>
      </c>
      <c r="L161" s="114">
        <v>4</v>
      </c>
      <c r="M161" s="114">
        <v>4</v>
      </c>
      <c r="N161" s="114">
        <v>4</v>
      </c>
      <c r="O161" s="114">
        <v>4</v>
      </c>
      <c r="P161" s="114">
        <v>4</v>
      </c>
      <c r="Q161" s="114">
        <v>4</v>
      </c>
      <c r="R161" s="114">
        <v>4</v>
      </c>
      <c r="S161" s="114">
        <v>4</v>
      </c>
      <c r="T161" s="395"/>
      <c r="U161" s="7"/>
      <c r="V161" s="4"/>
    </row>
    <row r="162" spans="1:22" ht="72.599999999999994" outlineLevel="1">
      <c r="A162" s="4"/>
      <c r="B162" s="4"/>
      <c r="C162" s="7"/>
      <c r="D162" s="678"/>
      <c r="E162" s="18" t="s">
        <v>748</v>
      </c>
      <c r="F162" s="111" t="s">
        <v>749</v>
      </c>
      <c r="G162" s="114">
        <v>4</v>
      </c>
      <c r="H162" s="114">
        <v>4</v>
      </c>
      <c r="I162" s="443">
        <v>4</v>
      </c>
      <c r="J162" s="429">
        <v>4</v>
      </c>
      <c r="K162" s="114">
        <v>4</v>
      </c>
      <c r="L162" s="114">
        <v>4</v>
      </c>
      <c r="M162" s="114">
        <v>4</v>
      </c>
      <c r="N162" s="114">
        <v>4</v>
      </c>
      <c r="O162" s="114">
        <v>4</v>
      </c>
      <c r="P162" s="114">
        <v>4</v>
      </c>
      <c r="Q162" s="114">
        <v>4</v>
      </c>
      <c r="R162" s="114">
        <v>4</v>
      </c>
      <c r="S162" s="114">
        <v>4</v>
      </c>
      <c r="T162" s="395"/>
      <c r="U162" s="7"/>
      <c r="V162" s="4"/>
    </row>
    <row r="163" spans="1:22" ht="57.95" outlineLevel="1">
      <c r="A163" s="4"/>
      <c r="B163" s="4"/>
      <c r="C163" s="7"/>
      <c r="D163" s="678"/>
      <c r="E163" s="477" t="s">
        <v>1414</v>
      </c>
      <c r="F163" s="476"/>
      <c r="G163" s="119"/>
      <c r="H163" s="119"/>
      <c r="I163" s="474"/>
      <c r="J163" s="475"/>
      <c r="K163" s="119"/>
      <c r="L163" s="476" t="s">
        <v>1429</v>
      </c>
      <c r="M163" s="119"/>
      <c r="N163" s="119"/>
      <c r="O163" s="119"/>
      <c r="P163" s="119"/>
      <c r="Q163" s="119"/>
      <c r="R163" s="119"/>
      <c r="S163" s="119"/>
      <c r="T163" s="473"/>
      <c r="U163" s="7"/>
      <c r="V163" s="4"/>
    </row>
    <row r="164" spans="1:22" ht="43.5" outlineLevel="1">
      <c r="A164" s="4"/>
      <c r="B164" s="4"/>
      <c r="C164" s="7"/>
      <c r="D164" s="673" t="s">
        <v>751</v>
      </c>
      <c r="E164" s="18" t="s">
        <v>750</v>
      </c>
      <c r="F164" s="18" t="s">
        <v>1312</v>
      </c>
      <c r="G164" s="114">
        <v>4</v>
      </c>
      <c r="H164" s="114">
        <v>4</v>
      </c>
      <c r="I164" s="443">
        <v>4</v>
      </c>
      <c r="J164" s="429">
        <v>4</v>
      </c>
      <c r="K164" s="114">
        <v>1</v>
      </c>
      <c r="L164" s="114">
        <v>1</v>
      </c>
      <c r="M164" s="114">
        <v>1</v>
      </c>
      <c r="N164" s="114">
        <v>1</v>
      </c>
      <c r="O164" s="114">
        <v>1</v>
      </c>
      <c r="P164" s="114">
        <v>1</v>
      </c>
      <c r="Q164" s="114">
        <v>1</v>
      </c>
      <c r="R164" s="114">
        <v>1</v>
      </c>
      <c r="S164" s="114">
        <v>1</v>
      </c>
      <c r="T164" s="395" t="s">
        <v>1300</v>
      </c>
      <c r="U164" s="7"/>
      <c r="V164" s="4"/>
    </row>
    <row r="165" spans="1:22" ht="29.1" outlineLevel="1">
      <c r="A165" s="4"/>
      <c r="B165" s="4"/>
      <c r="C165" s="7"/>
      <c r="D165" s="674"/>
      <c r="E165" s="18" t="s">
        <v>753</v>
      </c>
      <c r="F165" s="18" t="s">
        <v>1314</v>
      </c>
      <c r="G165" s="114">
        <v>1</v>
      </c>
      <c r="H165" s="114">
        <v>1</v>
      </c>
      <c r="I165" s="443">
        <v>1</v>
      </c>
      <c r="J165" s="429">
        <v>1</v>
      </c>
      <c r="K165" s="114">
        <v>1</v>
      </c>
      <c r="L165" s="114">
        <v>1</v>
      </c>
      <c r="M165" s="114">
        <v>1</v>
      </c>
      <c r="N165" s="114">
        <v>1</v>
      </c>
      <c r="O165" s="114">
        <v>1</v>
      </c>
      <c r="P165" s="114">
        <v>1</v>
      </c>
      <c r="Q165" s="114">
        <v>1</v>
      </c>
      <c r="R165" s="114">
        <v>1</v>
      </c>
      <c r="S165" s="114">
        <v>1</v>
      </c>
      <c r="T165" s="395" t="s">
        <v>1300</v>
      </c>
      <c r="U165" s="7"/>
      <c r="V165" s="4"/>
    </row>
    <row r="166" spans="1:22" ht="29.1" outlineLevel="1">
      <c r="A166" s="4"/>
      <c r="B166" s="4"/>
      <c r="C166" s="7"/>
      <c r="D166" s="674"/>
      <c r="E166" s="18" t="s">
        <v>755</v>
      </c>
      <c r="F166" s="18" t="s">
        <v>1315</v>
      </c>
      <c r="G166" s="114">
        <v>4</v>
      </c>
      <c r="H166" s="114">
        <v>4</v>
      </c>
      <c r="I166" s="443">
        <v>4</v>
      </c>
      <c r="J166" s="429">
        <v>4</v>
      </c>
      <c r="K166" s="114">
        <v>1</v>
      </c>
      <c r="L166" s="114">
        <v>1</v>
      </c>
      <c r="M166" s="114">
        <v>1</v>
      </c>
      <c r="N166" s="114">
        <v>1</v>
      </c>
      <c r="O166" s="114">
        <v>1</v>
      </c>
      <c r="P166" s="114">
        <v>1</v>
      </c>
      <c r="Q166" s="114">
        <v>1</v>
      </c>
      <c r="R166" s="114">
        <v>1</v>
      </c>
      <c r="S166" s="114">
        <v>1</v>
      </c>
      <c r="T166" s="395" t="s">
        <v>1300</v>
      </c>
      <c r="U166" s="7"/>
      <c r="V166" s="4"/>
    </row>
    <row r="167" spans="1:22" ht="29.1" outlineLevel="1">
      <c r="A167" s="4"/>
      <c r="B167" s="4"/>
      <c r="C167" s="7"/>
      <c r="D167" s="674"/>
      <c r="E167" s="18" t="s">
        <v>757</v>
      </c>
      <c r="F167" s="18" t="s">
        <v>1316</v>
      </c>
      <c r="G167" s="114">
        <v>4</v>
      </c>
      <c r="H167" s="114">
        <v>4</v>
      </c>
      <c r="I167" s="443">
        <v>4</v>
      </c>
      <c r="J167" s="429">
        <v>4</v>
      </c>
      <c r="K167" s="114">
        <v>1</v>
      </c>
      <c r="L167" s="114">
        <v>1</v>
      </c>
      <c r="M167" s="114">
        <v>1</v>
      </c>
      <c r="N167" s="114">
        <v>1</v>
      </c>
      <c r="O167" s="114">
        <v>1</v>
      </c>
      <c r="P167" s="114">
        <v>1</v>
      </c>
      <c r="Q167" s="114">
        <v>1</v>
      </c>
      <c r="R167" s="114">
        <v>1</v>
      </c>
      <c r="S167" s="114">
        <v>1</v>
      </c>
      <c r="T167" s="395" t="s">
        <v>1300</v>
      </c>
      <c r="U167" s="7"/>
      <c r="V167" s="4"/>
    </row>
    <row r="168" spans="1:22" ht="29.1" outlineLevel="1">
      <c r="A168" s="4"/>
      <c r="B168" s="4"/>
      <c r="C168" s="7"/>
      <c r="D168" s="674"/>
      <c r="E168" s="18" t="s">
        <v>759</v>
      </c>
      <c r="F168" s="18" t="s">
        <v>1317</v>
      </c>
      <c r="G168" s="114">
        <v>4</v>
      </c>
      <c r="H168" s="114">
        <v>4</v>
      </c>
      <c r="I168" s="443">
        <v>4</v>
      </c>
      <c r="J168" s="429">
        <v>4</v>
      </c>
      <c r="K168" s="114">
        <v>1</v>
      </c>
      <c r="L168" s="114">
        <v>4</v>
      </c>
      <c r="M168" s="114">
        <v>4</v>
      </c>
      <c r="N168" s="114">
        <v>4</v>
      </c>
      <c r="O168" s="114">
        <v>4</v>
      </c>
      <c r="P168" s="114">
        <v>4</v>
      </c>
      <c r="Q168" s="114">
        <v>1</v>
      </c>
      <c r="R168" s="114">
        <v>1</v>
      </c>
      <c r="S168" s="114">
        <v>1</v>
      </c>
      <c r="T168" s="395" t="s">
        <v>1300</v>
      </c>
      <c r="U168" s="7"/>
      <c r="V168" s="4"/>
    </row>
    <row r="169" spans="1:22" ht="101.45" outlineLevel="1">
      <c r="A169" s="4"/>
      <c r="B169" s="4"/>
      <c r="C169" s="7"/>
      <c r="D169" s="674"/>
      <c r="E169" s="18" t="s">
        <v>761</v>
      </c>
      <c r="F169" s="18" t="s">
        <v>1318</v>
      </c>
      <c r="G169" s="114">
        <v>4</v>
      </c>
      <c r="H169" s="114">
        <v>4</v>
      </c>
      <c r="I169" s="443">
        <v>1</v>
      </c>
      <c r="J169" s="429">
        <v>1</v>
      </c>
      <c r="K169" s="114">
        <v>1</v>
      </c>
      <c r="L169" s="114">
        <v>1</v>
      </c>
      <c r="M169" s="114">
        <v>1</v>
      </c>
      <c r="N169" s="114">
        <v>1</v>
      </c>
      <c r="O169" s="114">
        <v>1</v>
      </c>
      <c r="P169" s="114">
        <v>1</v>
      </c>
      <c r="Q169" s="114">
        <v>1</v>
      </c>
      <c r="R169" s="114">
        <v>1</v>
      </c>
      <c r="S169" s="114">
        <v>1</v>
      </c>
      <c r="T169" s="395" t="s">
        <v>1313</v>
      </c>
      <c r="U169" s="7"/>
      <c r="V169" s="4"/>
    </row>
    <row r="170" spans="1:22" ht="29.1" outlineLevel="1">
      <c r="A170" s="4"/>
      <c r="B170" s="4"/>
      <c r="C170" s="7"/>
      <c r="D170" s="674"/>
      <c r="E170" s="18" t="s">
        <v>763</v>
      </c>
      <c r="F170" s="18" t="s">
        <v>1319</v>
      </c>
      <c r="G170" s="114">
        <v>4</v>
      </c>
      <c r="H170" s="114">
        <v>4</v>
      </c>
      <c r="I170" s="443">
        <v>1</v>
      </c>
      <c r="J170" s="429">
        <v>1</v>
      </c>
      <c r="K170" s="114">
        <v>1</v>
      </c>
      <c r="L170" s="114">
        <v>1</v>
      </c>
      <c r="M170" s="114">
        <v>1</v>
      </c>
      <c r="N170" s="114">
        <v>1</v>
      </c>
      <c r="O170" s="114">
        <v>1</v>
      </c>
      <c r="P170" s="114">
        <v>1</v>
      </c>
      <c r="Q170" s="114">
        <v>1</v>
      </c>
      <c r="R170" s="114">
        <v>1</v>
      </c>
      <c r="S170" s="114">
        <v>1</v>
      </c>
      <c r="T170" s="395" t="s">
        <v>1313</v>
      </c>
      <c r="U170" s="7"/>
      <c r="V170" s="4"/>
    </row>
    <row r="171" spans="1:22" ht="87" outlineLevel="1">
      <c r="A171" s="4"/>
      <c r="B171" s="4"/>
      <c r="C171" s="7"/>
      <c r="D171" s="674"/>
      <c r="E171" s="18" t="s">
        <v>765</v>
      </c>
      <c r="F171" s="18" t="s">
        <v>1320</v>
      </c>
      <c r="G171" s="114">
        <v>4</v>
      </c>
      <c r="H171" s="114">
        <v>4</v>
      </c>
      <c r="I171" s="443">
        <v>1</v>
      </c>
      <c r="J171" s="429">
        <v>1</v>
      </c>
      <c r="K171" s="114">
        <v>1</v>
      </c>
      <c r="L171" s="114">
        <v>1</v>
      </c>
      <c r="M171" s="114">
        <v>1</v>
      </c>
      <c r="N171" s="114">
        <v>1</v>
      </c>
      <c r="O171" s="114">
        <v>1</v>
      </c>
      <c r="P171" s="114">
        <v>1</v>
      </c>
      <c r="Q171" s="114">
        <v>1</v>
      </c>
      <c r="R171" s="114">
        <v>1</v>
      </c>
      <c r="S171" s="114">
        <v>1</v>
      </c>
      <c r="T171" s="395" t="s">
        <v>1313</v>
      </c>
      <c r="U171" s="7"/>
      <c r="V171" s="4"/>
    </row>
    <row r="172" spans="1:22" ht="57.95" outlineLevel="1">
      <c r="A172" s="4"/>
      <c r="B172" s="4"/>
      <c r="C172" s="7"/>
      <c r="D172" s="674"/>
      <c r="E172" s="18" t="s">
        <v>767</v>
      </c>
      <c r="F172" s="18" t="s">
        <v>1321</v>
      </c>
      <c r="G172" s="114">
        <v>4</v>
      </c>
      <c r="H172" s="114">
        <v>4</v>
      </c>
      <c r="I172" s="443">
        <v>1</v>
      </c>
      <c r="J172" s="429">
        <v>1</v>
      </c>
      <c r="K172" s="114">
        <v>1</v>
      </c>
      <c r="L172" s="114">
        <v>1</v>
      </c>
      <c r="M172" s="114">
        <v>1</v>
      </c>
      <c r="N172" s="114">
        <v>1</v>
      </c>
      <c r="O172" s="114">
        <v>1</v>
      </c>
      <c r="P172" s="114">
        <v>1</v>
      </c>
      <c r="Q172" s="114">
        <v>1</v>
      </c>
      <c r="R172" s="114">
        <v>1</v>
      </c>
      <c r="S172" s="114">
        <v>1</v>
      </c>
      <c r="T172" s="395" t="s">
        <v>1313</v>
      </c>
      <c r="U172" s="7"/>
      <c r="V172" s="4"/>
    </row>
    <row r="173" spans="1:22" ht="29.1" outlineLevel="1">
      <c r="A173" s="4"/>
      <c r="B173" s="4"/>
      <c r="C173" s="7"/>
      <c r="D173" s="674"/>
      <c r="E173" s="18" t="s">
        <v>769</v>
      </c>
      <c r="F173" s="18" t="s">
        <v>1322</v>
      </c>
      <c r="G173" s="114">
        <v>4</v>
      </c>
      <c r="H173" s="114">
        <v>4</v>
      </c>
      <c r="I173" s="443">
        <v>1</v>
      </c>
      <c r="J173" s="429">
        <v>1</v>
      </c>
      <c r="K173" s="114">
        <v>1</v>
      </c>
      <c r="L173" s="114">
        <v>4</v>
      </c>
      <c r="M173" s="114">
        <v>1</v>
      </c>
      <c r="N173" s="114">
        <v>1</v>
      </c>
      <c r="O173" s="114">
        <v>1</v>
      </c>
      <c r="P173" s="114">
        <v>4</v>
      </c>
      <c r="Q173" s="114">
        <v>4</v>
      </c>
      <c r="R173" s="114">
        <v>4</v>
      </c>
      <c r="S173" s="114">
        <v>1</v>
      </c>
      <c r="T173" s="395" t="s">
        <v>1313</v>
      </c>
      <c r="U173" s="7"/>
      <c r="V173" s="4"/>
    </row>
    <row r="174" spans="1:22" ht="29.1" outlineLevel="1">
      <c r="A174" s="4"/>
      <c r="B174" s="4"/>
      <c r="C174" s="7"/>
      <c r="D174" s="674"/>
      <c r="E174" s="18" t="s">
        <v>771</v>
      </c>
      <c r="F174" s="18" t="s">
        <v>772</v>
      </c>
      <c r="G174" s="114">
        <v>1</v>
      </c>
      <c r="H174" s="114">
        <v>1</v>
      </c>
      <c r="I174" s="443">
        <v>1</v>
      </c>
      <c r="J174" s="429">
        <v>1</v>
      </c>
      <c r="K174" s="114">
        <v>1</v>
      </c>
      <c r="L174" s="114">
        <v>1</v>
      </c>
      <c r="M174" s="114">
        <v>1</v>
      </c>
      <c r="N174" s="114">
        <v>1</v>
      </c>
      <c r="O174" s="114">
        <v>1</v>
      </c>
      <c r="P174" s="114">
        <v>1</v>
      </c>
      <c r="Q174" s="114">
        <v>4</v>
      </c>
      <c r="R174" s="114">
        <v>4</v>
      </c>
      <c r="S174" s="114">
        <v>1</v>
      </c>
      <c r="T174" s="395" t="s">
        <v>1313</v>
      </c>
      <c r="U174" s="7"/>
      <c r="V174" s="4"/>
    </row>
    <row r="175" spans="1:22" ht="57.95" outlineLevel="1">
      <c r="A175" s="4"/>
      <c r="B175" s="4"/>
      <c r="C175" s="7"/>
      <c r="D175" s="674"/>
      <c r="E175" s="18" t="s">
        <v>774</v>
      </c>
      <c r="F175" s="18" t="s">
        <v>1323</v>
      </c>
      <c r="G175" s="114">
        <v>1</v>
      </c>
      <c r="H175" s="114">
        <v>1</v>
      </c>
      <c r="I175" s="443">
        <v>1</v>
      </c>
      <c r="J175" s="429">
        <v>1</v>
      </c>
      <c r="K175" s="114">
        <v>1</v>
      </c>
      <c r="L175" s="114">
        <v>1</v>
      </c>
      <c r="M175" s="114">
        <v>1</v>
      </c>
      <c r="N175" s="114">
        <v>1</v>
      </c>
      <c r="O175" s="114">
        <v>1</v>
      </c>
      <c r="P175" s="114">
        <v>1</v>
      </c>
      <c r="Q175" s="114">
        <v>1</v>
      </c>
      <c r="R175" s="114">
        <v>1</v>
      </c>
      <c r="S175" s="114">
        <v>1</v>
      </c>
      <c r="T175" s="395" t="s">
        <v>1313</v>
      </c>
      <c r="U175" s="7"/>
      <c r="V175" s="4"/>
    </row>
    <row r="176" spans="1:22" ht="72.599999999999994" outlineLevel="1">
      <c r="A176" s="4"/>
      <c r="B176" s="4"/>
      <c r="C176" s="7"/>
      <c r="D176" s="674"/>
      <c r="E176" s="18" t="s">
        <v>776</v>
      </c>
      <c r="F176" s="18" t="s">
        <v>1324</v>
      </c>
      <c r="G176" s="114">
        <v>1</v>
      </c>
      <c r="H176" s="114">
        <v>1</v>
      </c>
      <c r="I176" s="443">
        <v>1</v>
      </c>
      <c r="J176" s="429">
        <v>1</v>
      </c>
      <c r="K176" s="114">
        <v>1</v>
      </c>
      <c r="L176" s="114">
        <v>1</v>
      </c>
      <c r="M176" s="114">
        <v>1</v>
      </c>
      <c r="N176" s="114">
        <v>1</v>
      </c>
      <c r="O176" s="114">
        <v>1</v>
      </c>
      <c r="P176" s="114">
        <v>1</v>
      </c>
      <c r="Q176" s="114">
        <v>4</v>
      </c>
      <c r="R176" s="114">
        <v>4</v>
      </c>
      <c r="S176" s="114">
        <v>1</v>
      </c>
      <c r="T176" s="395" t="s">
        <v>1313</v>
      </c>
      <c r="U176" s="7"/>
      <c r="V176" s="4"/>
    </row>
    <row r="177" spans="1:22" ht="29.1" outlineLevel="1">
      <c r="A177" s="4"/>
      <c r="B177" s="4"/>
      <c r="C177" s="7"/>
      <c r="D177" s="674"/>
      <c r="E177" s="18" t="s">
        <v>778</v>
      </c>
      <c r="F177" s="18" t="s">
        <v>1325</v>
      </c>
      <c r="G177" s="114">
        <v>1</v>
      </c>
      <c r="H177" s="114">
        <v>1</v>
      </c>
      <c r="I177" s="468">
        <v>1</v>
      </c>
      <c r="J177" s="469">
        <v>1</v>
      </c>
      <c r="K177" s="114">
        <v>1</v>
      </c>
      <c r="L177" s="114">
        <v>1</v>
      </c>
      <c r="M177" s="114">
        <v>1</v>
      </c>
      <c r="N177" s="114">
        <v>1</v>
      </c>
      <c r="O177" s="114">
        <v>1</v>
      </c>
      <c r="P177" s="114">
        <v>1</v>
      </c>
      <c r="Q177" s="114">
        <v>1</v>
      </c>
      <c r="R177" s="114">
        <v>1</v>
      </c>
      <c r="S177" s="114">
        <v>1</v>
      </c>
      <c r="T177" s="395"/>
      <c r="U177" s="7"/>
      <c r="V177" s="4"/>
    </row>
    <row r="178" spans="1:22" ht="43.5" outlineLevel="1">
      <c r="A178" s="4"/>
      <c r="B178" s="4"/>
      <c r="C178" s="7"/>
      <c r="D178" s="675"/>
      <c r="E178" s="477" t="s">
        <v>1414</v>
      </c>
      <c r="F178" s="121"/>
      <c r="G178" s="119"/>
      <c r="H178" s="119"/>
      <c r="I178" s="474"/>
      <c r="J178" s="475"/>
      <c r="K178" s="482" t="s">
        <v>1430</v>
      </c>
      <c r="L178" s="119"/>
      <c r="M178" s="476" t="s">
        <v>1430</v>
      </c>
      <c r="N178" s="476" t="s">
        <v>1431</v>
      </c>
      <c r="O178" s="476" t="s">
        <v>1432</v>
      </c>
      <c r="P178" s="476" t="s">
        <v>1430</v>
      </c>
      <c r="Q178" s="119"/>
      <c r="R178" s="119"/>
      <c r="S178" s="484"/>
      <c r="T178" s="488" t="s">
        <v>1433</v>
      </c>
      <c r="U178" s="7"/>
      <c r="V178" s="4"/>
    </row>
    <row r="179" spans="1:22" ht="14.45" customHeight="1" outlineLevel="1">
      <c r="A179" s="4"/>
      <c r="B179" s="4"/>
      <c r="C179" s="7"/>
      <c r="D179" s="673" t="s">
        <v>1326</v>
      </c>
      <c r="E179" s="16" t="s">
        <v>790</v>
      </c>
      <c r="F179" s="316" t="s">
        <v>1327</v>
      </c>
      <c r="G179" s="223">
        <v>135</v>
      </c>
      <c r="H179" s="321">
        <v>100</v>
      </c>
      <c r="I179" s="448">
        <v>341</v>
      </c>
      <c r="J179" s="436">
        <v>0</v>
      </c>
      <c r="K179" s="321">
        <v>5185</v>
      </c>
      <c r="L179" s="115">
        <v>2708.3</v>
      </c>
      <c r="M179" s="312">
        <v>332.16</v>
      </c>
      <c r="N179" s="312">
        <v>10118.530000000001</v>
      </c>
      <c r="O179" s="312">
        <v>1003.75</v>
      </c>
      <c r="P179" s="312">
        <v>297.39</v>
      </c>
      <c r="Q179" s="321">
        <v>10000</v>
      </c>
      <c r="R179" s="321">
        <v>10000</v>
      </c>
      <c r="S179" s="391">
        <f>SUM(Table85919325[[#This Row],[Azure AD]:[Order Fulfillment]])</f>
        <v>40221.129999999997</v>
      </c>
      <c r="T179" s="396"/>
      <c r="U179" s="7"/>
      <c r="V179" s="4"/>
    </row>
    <row r="180" spans="1:22" outlineLevel="1">
      <c r="A180" s="4"/>
      <c r="B180" s="4"/>
      <c r="C180" s="7"/>
      <c r="D180" s="674"/>
      <c r="E180" s="16" t="s">
        <v>790</v>
      </c>
      <c r="F180" s="16" t="s">
        <v>1040</v>
      </c>
      <c r="G180" s="312">
        <v>0</v>
      </c>
      <c r="H180" s="312">
        <v>0</v>
      </c>
      <c r="I180" s="449">
        <v>0</v>
      </c>
      <c r="J180" s="437">
        <v>0</v>
      </c>
      <c r="K180" s="312">
        <v>0</v>
      </c>
      <c r="L180" s="312">
        <v>0</v>
      </c>
      <c r="M180" s="312">
        <v>0</v>
      </c>
      <c r="N180" s="312">
        <v>0</v>
      </c>
      <c r="O180" s="312">
        <v>0</v>
      </c>
      <c r="P180" s="312">
        <v>0</v>
      </c>
      <c r="Q180" s="312">
        <v>5000</v>
      </c>
      <c r="R180" s="312">
        <v>5000</v>
      </c>
      <c r="S180" s="392">
        <f>SUM(Table85919325[[#This Row],[Azure AD]:[Order Fulfillment]])</f>
        <v>10000</v>
      </c>
      <c r="T180" s="395"/>
      <c r="U180" s="7"/>
      <c r="V180" s="4"/>
    </row>
    <row r="181" spans="1:22" ht="43.5" outlineLevel="1">
      <c r="A181" s="4"/>
      <c r="B181" s="4"/>
      <c r="C181" s="7"/>
      <c r="D181" s="674"/>
      <c r="E181" s="16" t="s">
        <v>790</v>
      </c>
      <c r="F181" s="16" t="s">
        <v>350</v>
      </c>
      <c r="G181" s="312">
        <v>0</v>
      </c>
      <c r="H181" s="312">
        <v>0</v>
      </c>
      <c r="I181" s="449">
        <v>0</v>
      </c>
      <c r="J181" s="437">
        <v>0</v>
      </c>
      <c r="K181" s="312">
        <v>0</v>
      </c>
      <c r="L181" s="312">
        <v>0</v>
      </c>
      <c r="M181" s="312">
        <v>0</v>
      </c>
      <c r="N181" s="312">
        <v>0</v>
      </c>
      <c r="O181" s="312">
        <v>0</v>
      </c>
      <c r="P181" s="312">
        <v>0</v>
      </c>
      <c r="Q181" s="312">
        <v>0</v>
      </c>
      <c r="R181" s="312">
        <v>0</v>
      </c>
      <c r="S181" s="392">
        <f>SUM(Table85919325[[#This Row],[Azure AD]:[Order Fulfillment]])</f>
        <v>0</v>
      </c>
      <c r="T181" s="395" t="s">
        <v>1328</v>
      </c>
      <c r="U181" s="7"/>
      <c r="V181" s="4"/>
    </row>
    <row r="182" spans="1:22" outlineLevel="1">
      <c r="A182" s="4"/>
      <c r="B182" s="4"/>
      <c r="C182" s="7"/>
      <c r="D182" s="674"/>
      <c r="E182" s="16" t="s">
        <v>790</v>
      </c>
      <c r="F182" s="16" t="s">
        <v>1329</v>
      </c>
      <c r="G182" s="312">
        <v>0</v>
      </c>
      <c r="H182" s="312">
        <v>0</v>
      </c>
      <c r="I182" s="449">
        <v>0</v>
      </c>
      <c r="J182" s="437">
        <v>0</v>
      </c>
      <c r="K182" s="312">
        <v>0</v>
      </c>
      <c r="L182" s="312">
        <v>0</v>
      </c>
      <c r="M182" s="312">
        <v>0</v>
      </c>
      <c r="N182" s="312">
        <v>0</v>
      </c>
      <c r="O182" s="312">
        <v>0</v>
      </c>
      <c r="P182" s="312">
        <v>0</v>
      </c>
      <c r="Q182" s="312">
        <v>0</v>
      </c>
      <c r="R182" s="312">
        <v>0</v>
      </c>
      <c r="S182" s="392">
        <f>SUM(Table85919325[[#This Row],[Azure AD]:[Order Fulfillment]])</f>
        <v>0</v>
      </c>
      <c r="T182" s="395"/>
      <c r="U182" s="7"/>
      <c r="V182" s="4"/>
    </row>
    <row r="183" spans="1:22" outlineLevel="1">
      <c r="A183" s="4"/>
      <c r="B183" s="4"/>
      <c r="C183" s="7"/>
      <c r="D183" s="674"/>
      <c r="E183" s="16" t="s">
        <v>790</v>
      </c>
      <c r="F183" s="16" t="s">
        <v>732</v>
      </c>
      <c r="G183" s="312">
        <v>0</v>
      </c>
      <c r="H183" s="312">
        <v>0</v>
      </c>
      <c r="I183" s="449">
        <v>0</v>
      </c>
      <c r="J183" s="437">
        <v>0</v>
      </c>
      <c r="K183" s="312">
        <v>0</v>
      </c>
      <c r="L183" s="312">
        <v>0</v>
      </c>
      <c r="M183" s="312">
        <v>0</v>
      </c>
      <c r="N183" s="312">
        <v>0</v>
      </c>
      <c r="O183" s="312">
        <v>0</v>
      </c>
      <c r="P183" s="312">
        <v>0</v>
      </c>
      <c r="Q183" s="312">
        <v>0</v>
      </c>
      <c r="R183" s="312">
        <v>0</v>
      </c>
      <c r="S183" s="392">
        <f>SUM(Table85919325[[#This Row],[Azure AD]:[Order Fulfillment]])</f>
        <v>0</v>
      </c>
      <c r="T183" s="395"/>
      <c r="U183" s="7"/>
      <c r="V183" s="4"/>
    </row>
    <row r="184" spans="1:22" outlineLevel="1">
      <c r="A184" s="4"/>
      <c r="B184" s="4"/>
      <c r="C184" s="7"/>
      <c r="D184" s="674"/>
      <c r="E184" s="16" t="s">
        <v>790</v>
      </c>
      <c r="F184" s="16" t="s">
        <v>119</v>
      </c>
      <c r="G184" s="312">
        <v>0</v>
      </c>
      <c r="H184" s="312">
        <v>0</v>
      </c>
      <c r="I184" s="449">
        <v>0</v>
      </c>
      <c r="J184" s="437">
        <v>0</v>
      </c>
      <c r="K184" s="312">
        <v>0</v>
      </c>
      <c r="L184" s="312">
        <v>0</v>
      </c>
      <c r="M184" s="312">
        <v>0</v>
      </c>
      <c r="N184" s="312">
        <v>0</v>
      </c>
      <c r="O184" s="312">
        <v>0</v>
      </c>
      <c r="P184" s="312">
        <v>0</v>
      </c>
      <c r="Q184" s="312">
        <v>0</v>
      </c>
      <c r="R184" s="312">
        <v>0</v>
      </c>
      <c r="S184" s="392">
        <f>SUM(Table85919325[[#This Row],[Azure AD]:[Order Fulfillment]])</f>
        <v>0</v>
      </c>
      <c r="T184" s="395"/>
      <c r="U184" s="7"/>
      <c r="V184" s="4"/>
    </row>
    <row r="185" spans="1:22" outlineLevel="1">
      <c r="A185" s="4"/>
      <c r="B185" s="4"/>
      <c r="C185" s="7"/>
      <c r="D185" s="674"/>
      <c r="E185" s="16" t="s">
        <v>790</v>
      </c>
      <c r="F185" s="16" t="s">
        <v>400</v>
      </c>
      <c r="G185" s="312">
        <v>0</v>
      </c>
      <c r="H185" s="312">
        <v>0</v>
      </c>
      <c r="I185" s="449">
        <v>0</v>
      </c>
      <c r="J185" s="437">
        <v>0</v>
      </c>
      <c r="K185" s="312">
        <v>0</v>
      </c>
      <c r="L185" s="312">
        <v>0</v>
      </c>
      <c r="M185" s="312">
        <v>0</v>
      </c>
      <c r="N185" s="312">
        <v>0</v>
      </c>
      <c r="O185" s="312">
        <v>0</v>
      </c>
      <c r="P185" s="312">
        <v>0</v>
      </c>
      <c r="Q185" s="312">
        <v>0</v>
      </c>
      <c r="R185" s="312">
        <v>0</v>
      </c>
      <c r="S185" s="392">
        <f>SUM(Table85919325[[#This Row],[Azure AD]:[Order Fulfillment]])</f>
        <v>0</v>
      </c>
      <c r="T185" s="395"/>
      <c r="U185" s="7"/>
      <c r="V185" s="4"/>
    </row>
    <row r="186" spans="1:22" outlineLevel="1">
      <c r="A186" s="4"/>
      <c r="B186" s="4"/>
      <c r="C186" s="7"/>
      <c r="D186" s="674"/>
      <c r="E186" s="16" t="s">
        <v>790</v>
      </c>
      <c r="F186" s="16" t="s">
        <v>1330</v>
      </c>
      <c r="G186" s="312">
        <v>0</v>
      </c>
      <c r="H186" s="312">
        <v>0</v>
      </c>
      <c r="I186" s="449">
        <v>0</v>
      </c>
      <c r="J186" s="437">
        <v>0</v>
      </c>
      <c r="K186" s="312">
        <v>0</v>
      </c>
      <c r="L186" s="312">
        <v>0</v>
      </c>
      <c r="M186" s="312">
        <v>0</v>
      </c>
      <c r="N186" s="312">
        <v>0</v>
      </c>
      <c r="O186" s="312">
        <v>0</v>
      </c>
      <c r="P186" s="312">
        <v>0</v>
      </c>
      <c r="Q186" s="312">
        <v>0</v>
      </c>
      <c r="R186" s="312">
        <v>0</v>
      </c>
      <c r="S186" s="392">
        <f>SUM(Table85919325[[#This Row],[Azure AD]:[Order Fulfillment]])</f>
        <v>0</v>
      </c>
      <c r="T186" s="395"/>
      <c r="U186" s="7"/>
      <c r="V186" s="4"/>
    </row>
    <row r="187" spans="1:22" outlineLevel="1">
      <c r="A187" s="4"/>
      <c r="B187" s="4"/>
      <c r="C187" s="7"/>
      <c r="D187" s="674"/>
      <c r="E187" s="16" t="s">
        <v>790</v>
      </c>
      <c r="F187" s="16" t="s">
        <v>1332</v>
      </c>
      <c r="G187" s="312">
        <v>0</v>
      </c>
      <c r="H187" s="312">
        <v>0</v>
      </c>
      <c r="I187" s="449">
        <v>0</v>
      </c>
      <c r="J187" s="437">
        <v>0</v>
      </c>
      <c r="K187" s="312">
        <v>10</v>
      </c>
      <c r="L187" s="312">
        <v>0</v>
      </c>
      <c r="M187" s="312">
        <v>0</v>
      </c>
      <c r="N187" s="312">
        <v>0</v>
      </c>
      <c r="O187" s="312">
        <v>10</v>
      </c>
      <c r="P187" s="312">
        <v>0</v>
      </c>
      <c r="Q187" s="312">
        <v>0</v>
      </c>
      <c r="R187" s="312">
        <v>0</v>
      </c>
      <c r="S187" s="392">
        <f>SUM(Table85919325[[#This Row],[Azure AD]:[Order Fulfillment]])</f>
        <v>20</v>
      </c>
      <c r="T187" s="395"/>
      <c r="U187" s="7"/>
      <c r="V187" s="4"/>
    </row>
    <row r="188" spans="1:22" outlineLevel="1">
      <c r="A188" s="4"/>
      <c r="B188" s="4"/>
      <c r="C188" s="7"/>
      <c r="D188" s="674"/>
      <c r="E188" s="16" t="s">
        <v>790</v>
      </c>
      <c r="F188" s="16" t="s">
        <v>1333</v>
      </c>
      <c r="G188" s="312">
        <v>0</v>
      </c>
      <c r="H188" s="312">
        <v>0</v>
      </c>
      <c r="I188" s="449">
        <v>0</v>
      </c>
      <c r="J188" s="437">
        <v>0</v>
      </c>
      <c r="K188" s="312">
        <v>0</v>
      </c>
      <c r="L188" s="312">
        <v>0</v>
      </c>
      <c r="M188" s="312">
        <v>0</v>
      </c>
      <c r="N188" s="312">
        <v>0</v>
      </c>
      <c r="O188" s="312">
        <v>0</v>
      </c>
      <c r="P188" s="312">
        <v>0</v>
      </c>
      <c r="Q188" s="312">
        <v>0</v>
      </c>
      <c r="R188" s="312">
        <v>0</v>
      </c>
      <c r="S188" s="392">
        <f>SUM(Table85919325[[#This Row],[Azure AD]:[Order Fulfillment]])</f>
        <v>0</v>
      </c>
      <c r="T188" s="395"/>
      <c r="U188" s="7"/>
      <c r="V188" s="4"/>
    </row>
    <row r="189" spans="1:22" outlineLevel="1">
      <c r="A189" s="4"/>
      <c r="B189" s="4"/>
      <c r="C189" s="7"/>
      <c r="D189" s="674"/>
      <c r="E189" s="16" t="s">
        <v>790</v>
      </c>
      <c r="F189" s="16" t="s">
        <v>1334</v>
      </c>
      <c r="G189" s="110">
        <v>25</v>
      </c>
      <c r="H189" s="110">
        <v>25</v>
      </c>
      <c r="I189" s="449">
        <v>0</v>
      </c>
      <c r="J189" s="437">
        <v>0</v>
      </c>
      <c r="K189" s="110">
        <v>25</v>
      </c>
      <c r="L189" s="110">
        <v>25</v>
      </c>
      <c r="M189" s="110">
        <v>25</v>
      </c>
      <c r="N189" s="110">
        <v>25</v>
      </c>
      <c r="O189" s="110">
        <v>25</v>
      </c>
      <c r="P189" s="110">
        <v>25</v>
      </c>
      <c r="Q189" s="312">
        <v>0</v>
      </c>
      <c r="R189" s="312">
        <v>0</v>
      </c>
      <c r="S189" s="392">
        <f>SUM(Table85919325[[#This Row],[Azure AD]:[Order Fulfillment]])</f>
        <v>200</v>
      </c>
      <c r="T189" s="395"/>
      <c r="U189" s="7"/>
      <c r="V189" s="4"/>
    </row>
    <row r="190" spans="1:22" ht="15" outlineLevel="1" thickBot="1">
      <c r="A190" s="4"/>
      <c r="B190" s="4"/>
      <c r="C190" s="7"/>
      <c r="D190" s="675"/>
      <c r="E190" s="16"/>
      <c r="F190" s="478" t="s">
        <v>1335</v>
      </c>
      <c r="G190" s="323">
        <f>SUM(G179:G189)</f>
        <v>160</v>
      </c>
      <c r="H190" s="323">
        <f t="shared" ref="H190:S190" si="0">SUM(H179:H189)</f>
        <v>125</v>
      </c>
      <c r="I190" s="450">
        <f t="shared" si="0"/>
        <v>341</v>
      </c>
      <c r="J190" s="438">
        <f t="shared" si="0"/>
        <v>0</v>
      </c>
      <c r="K190" s="323">
        <f t="shared" si="0"/>
        <v>5220</v>
      </c>
      <c r="L190" s="323">
        <f t="shared" si="0"/>
        <v>2733.3</v>
      </c>
      <c r="M190" s="323">
        <f t="shared" si="0"/>
        <v>357.16</v>
      </c>
      <c r="N190" s="323">
        <f t="shared" si="0"/>
        <v>10143.530000000001</v>
      </c>
      <c r="O190" s="323">
        <f t="shared" si="0"/>
        <v>1038.75</v>
      </c>
      <c r="P190" s="323">
        <f t="shared" si="0"/>
        <v>322.39</v>
      </c>
      <c r="Q190" s="323">
        <f t="shared" si="0"/>
        <v>15000</v>
      </c>
      <c r="R190" s="323">
        <f t="shared" si="0"/>
        <v>15000</v>
      </c>
      <c r="S190" s="393">
        <f t="shared" si="0"/>
        <v>50441.13</v>
      </c>
      <c r="T190" s="398"/>
      <c r="U190" s="7"/>
      <c r="V190" s="4"/>
    </row>
    <row r="191" spans="1:22" outlineLevel="1">
      <c r="A191" s="4"/>
      <c r="B191" s="4"/>
      <c r="C191" s="7"/>
      <c r="D191" s="176"/>
      <c r="E191" s="7"/>
      <c r="F191" s="172"/>
      <c r="G191" s="177"/>
      <c r="H191" s="177"/>
      <c r="I191" s="177"/>
      <c r="J191" s="177"/>
      <c r="K191" s="177"/>
      <c r="L191" s="177"/>
      <c r="M191" s="177"/>
      <c r="N191" s="177"/>
      <c r="O191" s="177"/>
      <c r="P191" s="177"/>
      <c r="Q191" s="177"/>
      <c r="R191" s="177"/>
      <c r="S191" s="177"/>
      <c r="T191" s="7"/>
      <c r="U191" s="7"/>
      <c r="V191" s="4"/>
    </row>
    <row r="192" spans="1:22" outlineLevel="1">
      <c r="A192" s="4"/>
      <c r="B192" s="4"/>
      <c r="C192" s="4"/>
      <c r="D192" s="219"/>
      <c r="E192" s="4"/>
      <c r="F192" s="220"/>
      <c r="G192" s="221"/>
      <c r="H192" s="221"/>
      <c r="I192" s="221"/>
      <c r="J192" s="221"/>
      <c r="K192" s="221"/>
      <c r="L192" s="221"/>
      <c r="M192" s="221"/>
      <c r="N192" s="221"/>
      <c r="O192" s="221"/>
      <c r="P192" s="221"/>
      <c r="Q192" s="221"/>
      <c r="R192" s="221"/>
      <c r="S192" s="221"/>
      <c r="T192" s="4"/>
      <c r="U192" s="4"/>
      <c r="V192" s="4"/>
    </row>
    <row r="193" spans="1:22" ht="18.600000000000001">
      <c r="A193" s="101"/>
      <c r="B193" s="101"/>
      <c r="C193" s="102" t="s">
        <v>78</v>
      </c>
      <c r="D193" s="102"/>
      <c r="E193" s="101"/>
      <c r="F193" s="101"/>
      <c r="G193" s="101"/>
      <c r="H193" s="101"/>
      <c r="I193" s="101"/>
      <c r="J193" s="101"/>
      <c r="K193" s="101"/>
      <c r="L193" s="101"/>
      <c r="M193" s="101"/>
      <c r="N193" s="101"/>
      <c r="O193" s="101"/>
      <c r="P193" s="101"/>
      <c r="Q193" s="101"/>
      <c r="R193" s="101"/>
      <c r="S193" s="103"/>
      <c r="T193" s="101"/>
      <c r="U193" s="101"/>
      <c r="V193" s="101"/>
    </row>
    <row r="194" spans="1:22" outlineLevel="1">
      <c r="A194" s="4"/>
      <c r="B194" s="4"/>
      <c r="C194" s="4"/>
      <c r="D194" s="4"/>
      <c r="E194" s="4"/>
      <c r="F194" s="4"/>
      <c r="G194" s="4"/>
      <c r="H194" s="4"/>
      <c r="I194" s="4"/>
      <c r="J194" s="4"/>
      <c r="K194" s="4"/>
      <c r="L194" s="4"/>
      <c r="M194" s="4"/>
      <c r="N194" s="4"/>
      <c r="O194" s="4"/>
      <c r="P194" s="4"/>
      <c r="Q194" s="4"/>
      <c r="R194" s="4"/>
      <c r="S194" s="8"/>
      <c r="T194" s="4"/>
      <c r="U194" s="4"/>
      <c r="V194" s="4"/>
    </row>
    <row r="195" spans="1:22" ht="16.350000000000001" customHeight="1" outlineLevel="1">
      <c r="A195" s="4"/>
      <c r="B195" s="4"/>
      <c r="C195" s="168">
        <v>1</v>
      </c>
      <c r="D195" s="380" t="s">
        <v>1336</v>
      </c>
      <c r="E195" s="7"/>
      <c r="F195" s="380"/>
      <c r="G195" s="380"/>
      <c r="H195" s="93"/>
      <c r="I195" s="93"/>
      <c r="J195" s="93"/>
      <c r="K195" s="93"/>
      <c r="L195" s="93"/>
      <c r="M195" s="93"/>
      <c r="N195" s="93"/>
      <c r="O195" s="93"/>
      <c r="P195" s="93"/>
      <c r="Q195" s="93"/>
      <c r="R195" s="93"/>
      <c r="S195" s="106"/>
      <c r="T195" s="93"/>
      <c r="U195" s="93"/>
      <c r="V195" s="21"/>
    </row>
    <row r="196" spans="1:22" ht="16.350000000000001" customHeight="1" outlineLevel="1">
      <c r="A196" s="4"/>
      <c r="B196" s="4"/>
      <c r="C196" s="169">
        <v>2</v>
      </c>
      <c r="D196" s="93" t="s">
        <v>1337</v>
      </c>
      <c r="E196" s="7"/>
      <c r="F196" s="93"/>
      <c r="G196" s="93"/>
      <c r="H196" s="70"/>
      <c r="I196" s="70"/>
      <c r="J196" s="70"/>
      <c r="K196" s="7"/>
      <c r="L196" s="7"/>
      <c r="M196" s="7"/>
      <c r="N196" s="7"/>
      <c r="O196" s="7"/>
      <c r="P196" s="7"/>
      <c r="Q196" s="7"/>
      <c r="R196" s="7"/>
      <c r="S196" s="54"/>
      <c r="T196" s="7"/>
      <c r="U196" s="7"/>
      <c r="V196" s="4"/>
    </row>
    <row r="197" spans="1:22" ht="16.5" outlineLevel="1">
      <c r="A197" s="4"/>
      <c r="B197" s="4"/>
      <c r="C197" s="169">
        <v>3</v>
      </c>
      <c r="D197" s="93" t="s">
        <v>1338</v>
      </c>
      <c r="E197" s="7"/>
      <c r="F197" s="7"/>
      <c r="G197" s="7"/>
      <c r="H197" s="70"/>
      <c r="I197" s="70"/>
      <c r="J197" s="70"/>
      <c r="K197" s="7"/>
      <c r="L197" s="7"/>
      <c r="M197" s="7"/>
      <c r="N197" s="7"/>
      <c r="O197" s="7"/>
      <c r="P197" s="7"/>
      <c r="Q197" s="7"/>
      <c r="R197" s="7"/>
      <c r="S197" s="54"/>
      <c r="T197" s="7"/>
      <c r="U197" s="7"/>
      <c r="V197" s="4"/>
    </row>
    <row r="198" spans="1:22" ht="16.5" outlineLevel="1">
      <c r="A198" s="4"/>
      <c r="B198" s="4"/>
      <c r="C198" s="169">
        <v>4</v>
      </c>
      <c r="D198" s="70" t="s">
        <v>1339</v>
      </c>
      <c r="E198" s="7"/>
      <c r="F198" s="7"/>
      <c r="G198" s="7"/>
      <c r="H198" s="7"/>
      <c r="I198" s="7"/>
      <c r="J198" s="7"/>
      <c r="K198" s="7"/>
      <c r="L198" s="7"/>
      <c r="M198" s="7"/>
      <c r="N198" s="7"/>
      <c r="O198" s="7"/>
      <c r="P198" s="7"/>
      <c r="Q198" s="7"/>
      <c r="R198" s="7"/>
      <c r="S198" s="7"/>
      <c r="T198" s="7"/>
      <c r="U198" s="7"/>
      <c r="V198" s="4"/>
    </row>
    <row r="199" spans="1:22">
      <c r="A199" s="4"/>
      <c r="B199" s="4"/>
      <c r="C199" s="4"/>
      <c r="D199" s="4"/>
      <c r="E199" s="4"/>
      <c r="F199" s="4"/>
      <c r="G199" s="4"/>
      <c r="H199" s="4"/>
      <c r="I199" s="4"/>
      <c r="J199" s="4"/>
      <c r="K199" s="4"/>
      <c r="L199" s="4"/>
      <c r="M199" s="4"/>
      <c r="N199" s="4"/>
      <c r="O199" s="4"/>
      <c r="P199" s="4"/>
      <c r="Q199" s="4"/>
      <c r="R199" s="4"/>
      <c r="S199" s="4"/>
      <c r="T199" s="4"/>
      <c r="U199" s="4"/>
      <c r="V199" s="4"/>
    </row>
    <row r="200" spans="1:22" ht="13.7" hidden="1" customHeight="1"/>
    <row r="201" spans="1:22" hidden="1"/>
  </sheetData>
  <mergeCells count="17">
    <mergeCell ref="D103:D122"/>
    <mergeCell ref="D123:D132"/>
    <mergeCell ref="D62:E62"/>
    <mergeCell ref="D63:E63"/>
    <mergeCell ref="D64:E64"/>
    <mergeCell ref="D65:E65"/>
    <mergeCell ref="D70:D102"/>
    <mergeCell ref="C2:P2"/>
    <mergeCell ref="Q2:U2"/>
    <mergeCell ref="C3:P3"/>
    <mergeCell ref="Q3:U3"/>
    <mergeCell ref="E17:G17"/>
    <mergeCell ref="D139:D152"/>
    <mergeCell ref="D179:D190"/>
    <mergeCell ref="D164:D178"/>
    <mergeCell ref="D133:D138"/>
    <mergeCell ref="D153:D163"/>
  </mergeCells>
  <phoneticPr fontId="1" type="noConversion"/>
  <conditionalFormatting sqref="F62:F67">
    <cfRule type="iconSet" priority="36">
      <iconSet iconSet="4TrafficLights" showValue="0">
        <cfvo type="percent" val="0"/>
        <cfvo type="percent" val="25"/>
        <cfvo type="percent" val="50"/>
        <cfvo type="percent" val="75"/>
      </iconSet>
    </cfRule>
  </conditionalFormatting>
  <conditionalFormatting sqref="G86:R86">
    <cfRule type="beginsWith" dxfId="1530" priority="20" operator="beginsWith" text="Zonal">
      <formula>LEFT(G86,LEN("Zonal"))="Zonal"</formula>
    </cfRule>
    <cfRule type="beginsWith" dxfId="1529" priority="21" operator="beginsWith" text="Zone redundant">
      <formula>LEFT(G86,LEN("Zone redundant"))="Zone redundant"</formula>
    </cfRule>
    <cfRule type="containsText" dxfId="1528" priority="22" operator="containsText" text="Always">
      <formula>NOT(ISERROR(SEARCH("Always",G86)))</formula>
    </cfRule>
    <cfRule type="beginsWith" dxfId="1527" priority="19" operator="beginsWith" text="Zonal/">
      <formula>LEFT(G86,LEN("Zonal/"))="Zonal/"</formula>
    </cfRule>
  </conditionalFormatting>
  <conditionalFormatting sqref="G87:R87">
    <cfRule type="containsText" dxfId="1526" priority="18" operator="containsText" text="Always">
      <formula>NOT(ISERROR(SEARCH("Always",G87)))</formula>
    </cfRule>
    <cfRule type="containsText" dxfId="1525" priority="16" operator="containsText" text="Mainstream">
      <formula>NOT(ISERROR(SEARCH("Mainstream",G87)))</formula>
    </cfRule>
    <cfRule type="containsText" dxfId="1524" priority="15" operator="containsText" text="Strategic">
      <formula>NOT(ISERROR(SEARCH("Strategic",G87)))</formula>
    </cfRule>
    <cfRule type="containsText" dxfId="1523" priority="17" operator="containsText" text="Foundational">
      <formula>NOT(ISERROR(SEARCH("Foundational",G87)))</formula>
    </cfRule>
  </conditionalFormatting>
  <conditionalFormatting sqref="G70:S70">
    <cfRule type="iconSet" priority="14">
      <iconSet iconSet="4TrafficLights" showValue="0" reverse="1">
        <cfvo type="percent" val="0"/>
        <cfvo type="num" val="1" gte="0"/>
        <cfvo type="num" val="2" gte="0"/>
        <cfvo type="num" val="3" gte="0"/>
      </iconSet>
    </cfRule>
  </conditionalFormatting>
  <conditionalFormatting sqref="G75:S75 G76:J76 G82:S82 G77:S80">
    <cfRule type="iconSet" priority="24">
      <iconSet iconSet="4TrafficLights" showValue="0" reverse="1">
        <cfvo type="percent" val="0"/>
        <cfvo type="num" val="1" gte="0"/>
        <cfvo type="num" val="2" gte="0"/>
        <cfvo type="num" val="3" gte="0"/>
      </iconSet>
    </cfRule>
  </conditionalFormatting>
  <conditionalFormatting sqref="G88:S88">
    <cfRule type="iconSet" priority="2">
      <iconSet iconSet="4TrafficLights" showValue="0" reverse="1">
        <cfvo type="percent" val="0"/>
        <cfvo type="num" val="1" gte="0"/>
        <cfvo type="num" val="2" gte="0"/>
        <cfvo type="num" val="3" gte="0"/>
      </iconSet>
    </cfRule>
  </conditionalFormatting>
  <conditionalFormatting sqref="G90:S90">
    <cfRule type="iconSet" priority="3">
      <iconSet iconSet="4TrafficLights" showValue="0" reverse="1">
        <cfvo type="percent" val="0"/>
        <cfvo type="num" val="1" gte="0"/>
        <cfvo type="num" val="2" gte="0"/>
        <cfvo type="num" val="3" gte="0"/>
      </iconSet>
    </cfRule>
  </conditionalFormatting>
  <conditionalFormatting sqref="G93:S93 I94:I97">
    <cfRule type="iconSet" priority="1">
      <iconSet iconSet="4TrafficLights" showValue="0" reverse="1">
        <cfvo type="percent" val="0"/>
        <cfvo type="num" val="1" gte="0"/>
        <cfvo type="num" val="2" gte="0"/>
        <cfvo type="num" val="3" gte="0"/>
      </iconSet>
    </cfRule>
  </conditionalFormatting>
  <conditionalFormatting sqref="G133:S137 I132:M132 G123:S131 G122 I122:J122 Q122:S122 G178:J178 L178 G138:J138 L138:S138 G164:S177 G163:K163 M163:S163 Q178:S178 Q132:S132 G94:H97 J94:S97 G98:S121 G139:S162">
    <cfRule type="iconSet" priority="37">
      <iconSet iconSet="4TrafficLights" showValue="0" reverse="1">
        <cfvo type="percent" val="0"/>
        <cfvo type="num" val="1" gte="0"/>
        <cfvo type="num" val="2" gte="0"/>
        <cfvo type="num" val="3" gte="0"/>
      </iconSet>
    </cfRule>
  </conditionalFormatting>
  <conditionalFormatting sqref="K76:S76">
    <cfRule type="iconSet" priority="23">
      <iconSet iconSet="4TrafficLights" showValue="0" reverse="1">
        <cfvo type="percent" val="0"/>
        <cfvo type="num" val="1" gte="0"/>
        <cfvo type="num" val="2" gte="0"/>
        <cfvo type="num" val="3" gte="0"/>
      </iconSet>
    </cfRule>
  </conditionalFormatting>
  <conditionalFormatting sqref="S84:S87 S72 S91:S92 S89">
    <cfRule type="iconSet" priority="25">
      <iconSet iconSet="4TrafficLights" showValue="0">
        <cfvo type="percent" val="0"/>
        <cfvo type="percent" val="25"/>
        <cfvo type="percent" val="50"/>
        <cfvo type="percent" val="75"/>
      </iconSet>
    </cfRule>
  </conditionalFormatting>
  <dataValidations count="4">
    <dataValidation allowBlank="1" showInputMessage="1" showErrorMessage="1" promptTitle="Breakdown" prompt="15 * Premium P2 User Licenses @ USD9.00" sqref="G179" xr:uid="{FFF3BE6F-7333-4FED-B0CA-4AC032209534}"/>
    <dataValidation allowBlank="1" showInputMessage="1" showErrorMessage="1" promptTitle="Breakdown" prompt="4x Daily message units * 730 hours" sqref="L179" xr:uid="{95013341-56BB-49B0-94C4-0EB9385FDFFC}"/>
    <dataValidation allowBlank="1" showInputMessage="1" showErrorMessage="1" promptTitle="Breakdown" prompt="1 * Professional Direct Support @ USD1,000_x000a_(proportioned over all applications)" sqref="G189:H189 K189:P189" xr:uid="{8693C6BC-1811-4A9C-B437-8A01C276AE95}"/>
    <dataValidation allowBlank="1" showInputMessage="1" showErrorMessage="1" prompt="Includes Azure Site Recovery and any Azure services that support replication to another region for recovery purposes." sqref="F128" xr:uid="{4D41C0A3-27AB-4BB5-9E0A-955E4700DB67}"/>
  </dataValidations>
  <hyperlinks>
    <hyperlink ref="E23" r:id="rId1" display="https://learn.microsoft.com/en-us/azure/architecture/web-apps/app-service/architectures/multi-region" xr:uid="{F3347F0B-E9A7-4B0F-B60F-A3EB164F0323}"/>
    <hyperlink ref="D49" r:id="rId2" display="12. Each data center in a region is assigned to a physical zone. Physical zones are mapped to the logical zones in an Azure subscription. Azure subscriptions are automatically assigned this mapping at the time a subscription is created. For any zonal service, consider co-location of services via the ARM REST API, listLocations to list the logical zone mapping." xr:uid="{93E054C9-3FAF-4DD8-9588-238977B33A22}"/>
    <hyperlink ref="D58" r:id="rId3" display="15. The licensing, consumption and support cost of each service with any existing availability, recoverability, chaos engineering, load testing and the cost of continuity drills seperated out." xr:uid="{ABA070FA-EA70-4EF9-88D5-1600961B694B}"/>
    <hyperlink ref="D50" r:id="rId4" display="8. The security baseline for the service along with the Azure Defenses for Ransomware Attack." xr:uid="{12B1AB82-9579-4C3E-911D-9494C42EBA42}"/>
    <hyperlink ref="D56" r:id="rId5" location="continuous-validation-and-testing" display="14. If Continuous Validation and Testing activities are sufficient and meet requirements e.g., are they automated, does it test functionality as well as load and capacity, are test plans documented, do results enter a feedback and improvement loop with awareness for key stakeholders?" xr:uid="{C6C8B080-F6E9-4709-A6A3-271F5680AD25}"/>
    <hyperlink ref="D57" r:id="rId6" display="14.1 If the service is currently supported by Azure Chaos Studio by checking the Fault and Action library." xr:uid="{1658A350-19E2-46B4-BF94-8CFB3CFE1124}"/>
    <hyperlink ref="F155" r:id="rId7" location="im-8-restrict-the-exposure-of-credentials-and-secrets" xr:uid="{EEAD3553-7F7B-489B-BCA5-9DAC749942D9}"/>
    <hyperlink ref="F156" r:id="rId8" location="pa-8-determine-access-process-for-cloud-provider-support" xr:uid="{4374E08A-6854-48B3-8576-2CA0F8287679}"/>
    <hyperlink ref="F157" r:id="rId9" xr:uid="{F2CE1434-6803-44F0-BEB2-EDF1115D5B2F}"/>
    <hyperlink ref="F158" r:id="rId10" location="lt-1-enable-threat-detection-capabilities" xr:uid="{FCA9CBC8-285B-438F-928B-7E044FF0A8E9}"/>
    <hyperlink ref="F159" r:id="rId11" location="lt-1-enable-threat-detection-capabilities" xr:uid="{46853689-2A88-4FA7-B8F0-6C4943A76751}"/>
    <hyperlink ref="F160" r:id="rId12" location="pv-6-rapidly-and-automatically-remediate-vulnerabilities" xr:uid="{26EC01A7-D303-4F03-8B1E-87C2B2D6F6AA}"/>
    <hyperlink ref="F161" r:id="rId13" location="br-2-protect-backup-and-recovery-data" display="Backup and Recovery: Protect Backup and Recovery Data - Ransomware and rogue admin scenario mitigation by using multi-user authorization for Azure Backup to help add a layer of authorization for critical backup operations like policy modifications, disabling soft delete, and vault deletions." xr:uid="{3FA624D2-A526-469E-B3A0-6A0D3541439A}"/>
    <hyperlink ref="G73" r:id="rId14" display="https://www.microsoft.com/licensing/docs/view/Service-Level-Agreements-SLA-for-Online-Services?lang=1&amp;year=2023" xr:uid="{DDAD734B-ED02-4572-A7B7-D36BBA9662B6}"/>
    <hyperlink ref="H73" r:id="rId15" display="https://www.microsoft.com/licensing/docs/view/Service-Level-Agreements-SLA-for-Online-Services?lang=1&amp;year=2023" xr:uid="{5941A29C-A4ED-4FC5-BC6F-683D176A5A07}"/>
    <hyperlink ref="K73" r:id="rId16" display="https://www.microsoft.com/licensing/docs/view/Service-Level-Agreements-SLA-for-Online-Services?lang=1&amp;year=2023" xr:uid="{F4537F47-853E-4421-A4B8-BF8FC68482CC}"/>
    <hyperlink ref="L73" r:id="rId17" display="https://www.microsoft.com/licensing/docs/view/Service-Level-Agreements-SLA-for-Online-Services?lang=1&amp;year=2023" xr:uid="{2E12E83C-00F0-44CF-9211-AC587E1DA2B2}"/>
    <hyperlink ref="M73" r:id="rId18" display="https://www.microsoft.com/licensing/docs/view/Service-Level-Agreements-SLA-for-Online-Services?lang=1&amp;year=2023" xr:uid="{A0BA616A-42DE-472E-8CAE-16663CC7875D}"/>
    <hyperlink ref="N73" r:id="rId19" display="https://www.microsoft.com/licensing/docs/view/Service-Level-Agreements-SLA-for-Online-Services?lang=1&amp;year=2023" xr:uid="{9B1CE73D-BBB6-43F2-89BB-1DFFD5A73D74}"/>
    <hyperlink ref="O73" r:id="rId20" display="https://www.microsoft.com/licensing/docs/view/Service-Level-Agreements-SLA-for-Online-Services?lang=1&amp;year=2023" xr:uid="{AF8E9B7C-39F6-4ACE-949B-36652073CFC1}"/>
    <hyperlink ref="P73" r:id="rId21" display="https://www.microsoft.com/licensing/docs/view/Service-Level-Agreements-SLA-for-Online-Services?lang=1&amp;year=2023" xr:uid="{CC54CDF9-DCAF-4BDE-9C35-9B2665F7559B}"/>
    <hyperlink ref="G92" r:id="rId22" display="https://learn.microsoft.com/en-us/security/benchmark/azure/mcsb-identity-management" xr:uid="{9D3FB81C-F23C-4BCB-916F-49E14D60B161}"/>
    <hyperlink ref="H92" r:id="rId23" display="https://learn.microsoft.com/en-us/security/benchmark/azure/baselines/azure-dns-security-baseline" xr:uid="{E3C8D21C-75DB-4C9C-9EF8-6A9DAFC64D4B}"/>
    <hyperlink ref="K92" r:id="rId24" display="https://learn.microsoft.com/en-us/security/benchmark/azure/baselines/app-service-security-baseline" xr:uid="{49A10FD2-9C2D-4796-BD1C-F285F6ECAA84}"/>
    <hyperlink ref="L92" r:id="rId25" display="https://learn.microsoft.com/en-us/security/benchmark/azure/baselines/service-bus-security-baseline" xr:uid="{F4F1184A-C9C9-4109-A640-9B8A1B6A360D}"/>
    <hyperlink ref="M92" r:id="rId26" display="https://learn.microsoft.com/en-us/security/benchmark/azure/baselines/functions-security-baseline" xr:uid="{404A9C89-9795-4E16-8B1F-26C20B68552C}"/>
    <hyperlink ref="N92" r:id="rId27" display="https://learn.microsoft.com/en-us/security/benchmark/azure/baselines/azure-cache-for-redis-security-baseline?toc=%2Fazure%2Fazure-cache-for-redis%2FTOC.json" xr:uid="{F6A229A8-17B3-47EE-8CA7-5A9930F26787}"/>
    <hyperlink ref="O92" r:id="rId28" display="https://learn.microsoft.com/en-us/security/benchmark/azure/baselines/azure-sql-security-baseline" xr:uid="{489F0523-6064-4A2D-951B-8A8F5C83888F}"/>
    <hyperlink ref="P92" r:id="rId29" display="https://learn.microsoft.com/en-us/security/benchmark/azure/baselines/azure-cosmos-db-security-baseline" xr:uid="{F25DB6CF-1F03-4C62-982A-7532E69E573E}"/>
    <hyperlink ref="D195:G195" r:id="rId30" display="Refer to the most recent SLA publication for up-to-date information." xr:uid="{6E3599A5-8286-4D9B-8168-2F05D15A5DE5}"/>
    <hyperlink ref="D196:G196" r:id="rId31" display="Refer to the most recent resiliency and regional availability categories." xr:uid="{526D9329-666E-4354-A7B9-9B75FF624A08}"/>
    <hyperlink ref="D197" r:id="rId32" display="Refer to current pricing." xr:uid="{E85D4E88-204C-4F3D-AC18-1F4BBCA49BEE}"/>
    <hyperlink ref="D46" r:id="rId33" display="6. The resiliency and regional availability category for any Azure services." xr:uid="{C74747F9-0BAF-4FD3-A35E-A0816462EC66}"/>
    <hyperlink ref="F162" r:id="rId34" location="br-2-protect-backup-and-recovery-data" xr:uid="{CA4B9F78-A02A-4493-9C62-FAB9F30E98D1}"/>
    <hyperlink ref="I73" r:id="rId35" display="https://www.microsoft.com/licensing/docs/view/Service-Level-Agreements-SLA-for-Online-Services?lang=1&amp;year=2023" xr:uid="{60389DFB-C677-44FF-A60E-3052287D2EA1}"/>
    <hyperlink ref="I92" r:id="rId36" display="https://learn.microsoft.com/en-us/security/benchmark/azure/baselines/azure-front-door-security-baseline" xr:uid="{3237912A-FA50-49ED-AE54-957D4E47C8CF}"/>
    <hyperlink ref="J92" r:id="rId37" display="https://learn.microsoft.com/en-us/security/benchmark/azure/baselines/web-application-firewall-security-baseline" xr:uid="{808559EC-12EF-4386-AAE7-2689249DEC0D}"/>
    <hyperlink ref="G132" r:id="rId38" location="business-continuity-and-disaster-planning" display="https://learn.microsoft.com/en-us/azure/active-directory/fundamentals/recoverability-overview - business-continuity-and-disaster-planning" xr:uid="{EC84A4CC-61D6-4756-BB9E-51C66B7CFA5C}"/>
    <hyperlink ref="H122" r:id="rId39" display="https://learn.microsoft.com/en-us/azure/dns/dns-protect-zones-recordsets" xr:uid="{48101E36-0FD7-4E09-8F3F-66CA2E1706E9}"/>
    <hyperlink ref="H132" r:id="rId40" display="https://learn.microsoft.com/en-us/azure/dns/dns-import-export" xr:uid="{98A05826-445B-4B77-8519-0EAAF02D0EA5}"/>
    <hyperlink ref="K122" r:id="rId41" display="https://learn.microsoft.com/en-us/azure/app-service/tutorial-multi-region-app" xr:uid="{49CCD49F-00FC-40C5-9F2B-FC42A2845A35}"/>
    <hyperlink ref="K178" r:id="rId42" location="app-service-stop" display="https://learn.microsoft.com/en-us/azure/chaos-studio/chaos-studio-fault-library - app-service-stop" xr:uid="{EF621D7B-9CA2-438B-915B-8406A8760448}"/>
    <hyperlink ref="T178" r:id="rId43" display="https://learn.microsoft.com/en-us/azure/load-testing/concept-load-test-app-service" xr:uid="{968AE4DA-5683-49FE-BFC8-738DBE1A9B21}"/>
    <hyperlink ref="K138" r:id="rId44" location="use-deployment-slots" display="https://learn.microsoft.com/en-us/azure/app-service/deploy-best-practices - use-deployment-slots" xr:uid="{9480D227-94CA-4F9A-AFF6-8E7C051D0B66}"/>
    <hyperlink ref="L122" r:id="rId45" display="https://learn.microsoft.com/en-us/azure/app-service/tutorial-multi-region-app" xr:uid="{05FDC83B-835B-4158-8075-4823D7F688A9}"/>
    <hyperlink ref="L163" r:id="rId46" location="dp-5-use-customer-managed-key-option-in-data-at-rest-encryption-when-required" display="https://learn.microsoft.com/en-us/security/benchmark/azure/baselines/service-bus-security-baseline - dp-5-use-customer-managed-key-option-in-data-at-rest-encryption-when-required" xr:uid="{4167B11E-BE73-4A8D-85B2-D962F0F72C43}"/>
    <hyperlink ref="M122" r:id="rId47" display="https://learn.microsoft.com/en-us/azure/azure-functions/functions-geo-disaster-recovery" xr:uid="{6094ED8E-0F9F-4E8A-903F-0F46C1FCB565}"/>
    <hyperlink ref="M178" r:id="rId48" location="app-service-stop" display="https://learn.microsoft.com/en-us/azure/chaos-studio/chaos-studio-fault-library - app-service-stop" xr:uid="{9DA03B11-EB37-46D5-BA08-0FAA4D9640A2}"/>
    <hyperlink ref="N178" r:id="rId49" location="azure-cache-for-redis-reboot" display="https://learn.microsoft.com/en-us/azure/chaos-studio/chaos-studio-fault-library - azure-cache-for-redis-reboot" xr:uid="{A7FB74D2-B7DB-4EC1-924A-7292AE8C6ECE}"/>
    <hyperlink ref="N132" r:id="rId50" location="importexport" xr:uid="{D361C4CE-A598-4057-8340-FBFAF199E7B8}"/>
    <hyperlink ref="N122" r:id="rId51" display="https://techcommunity.microsoft.com/t5/azure-developer-community-blog/how-to-utilize-active-geo-replication-in-azure-cache-for-redis/ba-p/3074404" xr:uid="{0FCF7E7F-D3CA-4649-9DF6-52BE242CF905}"/>
    <hyperlink ref="T122" r:id="rId52" display="https://learn.microsoft.com/en-us/azure/azure-cache-for-redis/cache-high-availability" xr:uid="{0EC230BF-091D-4596-80CB-6415EDE07344}"/>
    <hyperlink ref="O178" r:id="rId53" display="https://techcommunity.microsoft.com/t5/apps-on-azure-blog/load-testing-databases-with-azure-load-testing/ba-p/3846557" xr:uid="{71600EDB-E6DE-4606-A80A-915DF7C14EFD}"/>
    <hyperlink ref="O132" r:id="rId54" location="backup-storage-redundancy" display="https://learn.microsoft.com/en-us/azure/azure-sql/database/automated-backups-overview?view=azuresql - backup-storage-redundancy" xr:uid="{B6E06186-E137-473A-9F57-C7C4833A7399}"/>
    <hyperlink ref="O122" r:id="rId55" display="https://learn.microsoft.com/en-us/azure/azure-sql/database/active-geo-replication-overview?view=azuresql" xr:uid="{4EF34BE7-7757-4DA0-94A4-100CB25FBDD2}"/>
    <hyperlink ref="P122" r:id="rId56" display="https://learn.microsoft.com/en-us/azure/cosmos-db/high-availability" xr:uid="{916273C0-350A-4E77-8782-FD657F42577A}"/>
    <hyperlink ref="P132" r:id="rId57" display="https://learn.microsoft.com/en-us/azure/cosmos-db/continuous-backup-restore-introduction" xr:uid="{314F8B1D-D8C4-4071-A730-63A1141ACFE8}"/>
    <hyperlink ref="P178" r:id="rId58" location="azure-cosmos-db-failover" display="https://learn.microsoft.com/en-us/azure/chaos-studio/chaos-studio-fault-library - azure-cosmos-db-failover" xr:uid="{C7C87B8D-02E4-4E43-86AE-73615FA33911}"/>
    <hyperlink ref="F154" r:id="rId59" location="ns-5-deploy-ddos-protection" xr:uid="{66796A6D-E926-4671-ABA0-8639104ED59E}"/>
    <hyperlink ref="D198" location="'1B Requirements'!A1" display="Categories and requirement identifiers map back to the requirements template." xr:uid="{90D270A0-51D5-4600-8FD0-586783D82E0E}"/>
  </hyperlinks>
  <pageMargins left="0.7" right="0.7" top="0.75" bottom="0.75" header="0.3" footer="0.3"/>
  <pageSetup orientation="portrait" r:id="rId60"/>
  <drawing r:id="rId61"/>
  <tableParts count="1">
    <tablePart r:id="rId62"/>
  </tableParts>
  <extLst>
    <ext xmlns:x14="http://schemas.microsoft.com/office/spreadsheetml/2009/9/main" uri="{78C0D931-6437-407d-A8EE-F0AAD7539E65}">
      <x14:conditionalFormattings>
        <x14:conditionalFormatting xmlns:xm="http://schemas.microsoft.com/office/excel/2006/main">
          <x14:cfRule type="cellIs" priority="30" operator="equal" id="{92A0726E-CAAD-4619-9EE6-90988E9B4D11}">
            <xm:f>Data!$L$6</xm:f>
            <x14:dxf>
              <font>
                <color theme="0"/>
              </font>
              <fill>
                <patternFill>
                  <bgColor rgb="FFF25022"/>
                </patternFill>
              </fill>
            </x14:dxf>
          </x14:cfRule>
          <x14:cfRule type="cellIs" priority="29" operator="equal" id="{0A4731B0-4E5A-428A-9A0D-F24E53527239}">
            <xm:f>Data!$L$10</xm:f>
            <x14:dxf>
              <font>
                <color theme="0"/>
              </font>
              <fill>
                <patternFill>
                  <bgColor rgb="FFF25022"/>
                </patternFill>
              </fill>
            </x14:dxf>
          </x14:cfRule>
          <x14:cfRule type="cellIs" priority="28" operator="equal" id="{84539011-A5BE-44BC-AD47-FB388A534A0A}">
            <xm:f>Data!$L$11</xm:f>
            <x14:dxf>
              <font>
                <color theme="0"/>
              </font>
              <fill>
                <patternFill>
                  <bgColor rgb="FFF25022"/>
                </patternFill>
              </fill>
            </x14:dxf>
          </x14:cfRule>
          <x14:cfRule type="cellIs" priority="27" operator="equal" id="{87DC8729-6686-4011-A495-D54E54FD7662}">
            <xm:f>Data!$L$12</xm:f>
            <x14:dxf>
              <font>
                <color theme="0"/>
              </font>
              <fill>
                <patternFill>
                  <bgColor rgb="FFF25022"/>
                </patternFill>
              </fill>
            </x14:dxf>
          </x14:cfRule>
          <x14:cfRule type="cellIs" priority="26" operator="equal" id="{ECCEC4B4-890C-457A-AC3F-3F9202B7754C}">
            <xm:f>Data!$L$13</xm:f>
            <x14:dxf>
              <font>
                <color theme="0"/>
              </font>
              <fill>
                <patternFill>
                  <bgColor rgb="FFF25022"/>
                </patternFill>
              </fill>
            </x14:dxf>
          </x14:cfRule>
          <x14:cfRule type="cellIs" priority="31" operator="equal" id="{AFDF1B1B-163B-4D0C-8756-BD5B436B1158}">
            <xm:f>Data!$L$9</xm:f>
            <x14:dxf>
              <font>
                <color theme="1"/>
              </font>
              <fill>
                <patternFill>
                  <bgColor rgb="FF7FBA00"/>
                </patternFill>
              </fill>
            </x14:dxf>
          </x14:cfRule>
          <x14:cfRule type="cellIs" priority="32" operator="equal" id="{DD1D2775-992D-4EA0-83DE-F0FA002DB8AF}">
            <xm:f>Data!$L$8</xm:f>
            <x14:dxf>
              <font>
                <color theme="1"/>
              </font>
              <fill>
                <patternFill>
                  <bgColor rgb="FF00A4EF"/>
                </patternFill>
              </fill>
            </x14:dxf>
          </x14:cfRule>
          <x14:cfRule type="cellIs" priority="33" operator="equal" id="{4223CE77-861E-4C0D-88AD-1DF137AEC528}">
            <xm:f>Data!$L$7</xm:f>
            <x14:dxf>
              <font>
                <color theme="1"/>
              </font>
              <fill>
                <patternFill>
                  <bgColor rgb="FFFFB900"/>
                </patternFill>
              </fill>
            </x14:dxf>
          </x14:cfRule>
          <x14:cfRule type="cellIs" priority="34" operator="equal" id="{6EF8D6F1-673A-4841-BD3C-C342ECE02F16}">
            <xm:f>Data!$L$5</xm:f>
            <x14:dxf>
              <font>
                <color theme="0"/>
              </font>
              <fill>
                <patternFill>
                  <bgColor rgb="FFF25022"/>
                </patternFill>
              </fill>
            </x14:dxf>
          </x14:cfRule>
          <x14:cfRule type="cellIs" priority="35" operator="equal" id="{F1FCDF0B-1771-4861-B26A-4340CD671314}">
            <xm:f>Data!$L$6+Data!$L$14</xm:f>
            <x14:dxf>
              <font>
                <color theme="0"/>
              </font>
              <fill>
                <patternFill>
                  <bgColor rgb="FF747474"/>
                </patternFill>
              </fill>
            </x14:dxf>
          </x14:cfRule>
          <xm:sqref>E16:E17</xm:sqref>
        </x14:conditionalFormatting>
        <x14:conditionalFormatting xmlns:xm="http://schemas.microsoft.com/office/excel/2006/main">
          <x14:cfRule type="cellIs" priority="4" operator="equal" id="{5BF8D707-51AA-4020-AC8F-01DE9F25D182}">
            <xm:f>Data!$L$13</xm:f>
            <x14:dxf>
              <font>
                <color theme="0"/>
              </font>
              <fill>
                <patternFill>
                  <bgColor rgb="FFF25022"/>
                </patternFill>
              </fill>
            </x14:dxf>
          </x14:cfRule>
          <x14:cfRule type="cellIs" priority="5" operator="equal" id="{F60FCE59-78BF-484B-8378-D030CF7C1749}">
            <xm:f>Data!$L$12</xm:f>
            <x14:dxf>
              <font>
                <color theme="0"/>
              </font>
              <fill>
                <patternFill>
                  <bgColor rgb="FFF25022"/>
                </patternFill>
              </fill>
            </x14:dxf>
          </x14:cfRule>
          <x14:cfRule type="cellIs" priority="6" operator="equal" id="{212CBD9B-95A1-42F4-BD49-E582AE93D7A2}">
            <xm:f>Data!$L$11</xm:f>
            <x14:dxf>
              <font>
                <color theme="0"/>
              </font>
              <fill>
                <patternFill>
                  <bgColor rgb="FFF25022"/>
                </patternFill>
              </fill>
            </x14:dxf>
          </x14:cfRule>
          <x14:cfRule type="cellIs" priority="7" operator="equal" id="{7C21C594-956E-4F41-8548-2ECDEAF2EC1D}">
            <xm:f>Data!$L$10</xm:f>
            <x14:dxf>
              <font>
                <color theme="0"/>
              </font>
              <fill>
                <patternFill>
                  <bgColor rgb="FFF25022"/>
                </patternFill>
              </fill>
            </x14:dxf>
          </x14:cfRule>
          <x14:cfRule type="cellIs" priority="8" operator="equal" id="{318391F3-5A4E-4D55-A526-968447B2C863}">
            <xm:f>Data!$L$6</xm:f>
            <x14:dxf>
              <font>
                <color theme="0"/>
              </font>
              <fill>
                <patternFill>
                  <bgColor rgb="FFF25022"/>
                </patternFill>
              </fill>
            </x14:dxf>
          </x14:cfRule>
          <x14:cfRule type="cellIs" priority="9" operator="equal" id="{1E8C9211-44B9-4091-B66C-CD8ED27AF27D}">
            <xm:f>Data!$L$9</xm:f>
            <x14:dxf>
              <font>
                <color theme="1"/>
              </font>
              <fill>
                <patternFill>
                  <bgColor rgb="FF7FBA00"/>
                </patternFill>
              </fill>
            </x14:dxf>
          </x14:cfRule>
          <x14:cfRule type="cellIs" priority="10" operator="equal" id="{CD5D0B9E-6354-4CA8-99AC-0E78BCFCAE0D}">
            <xm:f>Data!$L$8</xm:f>
            <x14:dxf>
              <font>
                <color theme="1"/>
              </font>
              <fill>
                <patternFill>
                  <bgColor rgb="FF00A4EF"/>
                </patternFill>
              </fill>
            </x14:dxf>
          </x14:cfRule>
          <x14:cfRule type="cellIs" priority="11" operator="equal" id="{C1CA9ECA-5BD9-4936-9D68-5218C54F8F96}">
            <xm:f>Data!$L$7</xm:f>
            <x14:dxf>
              <font>
                <color theme="1"/>
              </font>
              <fill>
                <patternFill>
                  <bgColor rgb="FFFFB900"/>
                </patternFill>
              </fill>
            </x14:dxf>
          </x14:cfRule>
          <x14:cfRule type="cellIs" priority="12" operator="equal" id="{3A3EB638-664F-4B29-94F1-5AC62802B8A9}">
            <xm:f>Data!$L$5</xm:f>
            <x14:dxf>
              <font>
                <color theme="0"/>
              </font>
              <fill>
                <patternFill>
                  <bgColor rgb="FFF25022"/>
                </patternFill>
              </fill>
            </x14:dxf>
          </x14:cfRule>
          <x14:cfRule type="cellIs" priority="13" operator="equal" id="{594DB3E1-E4A3-420B-9DA7-32B73C97E27A}">
            <xm:f>Data!$L$6+Data!$L$14</xm:f>
            <x14:dxf>
              <font>
                <color theme="0"/>
              </font>
              <fill>
                <patternFill>
                  <bgColor rgb="FF747474"/>
                </patternFill>
              </fill>
            </x14:dxf>
          </x14:cfRule>
          <xm:sqref>G71:R71</xm:sqref>
        </x14:conditionalFormatting>
      </x14:conditionalFormattings>
    </ext>
    <ext xmlns:x14="http://schemas.microsoft.com/office/spreadsheetml/2009/9/main" uri="{CCE6A557-97BC-4b89-ADB6-D9C93CAAB3DF}">
      <x14:dataValidations xmlns:xm="http://schemas.microsoft.com/office/excel/2006/main" count="2">
        <x14:dataValidation type="list" allowBlank="1" showInputMessage="1" showErrorMessage="1" xr:uid="{55EE0D7F-2B7E-46DD-A1C0-88DCA2F958A5}">
          <x14:formula1>
            <xm:f>Data!$L$17:$L$21</xm:f>
          </x14:formula1>
          <xm:sqref>G86:R86</xm:sqref>
        </x14:dataValidation>
        <x14:dataValidation type="list" allowBlank="1" showInputMessage="1" showErrorMessage="1" xr:uid="{B7E35513-3714-410D-AB25-EE06412D0FD6}">
          <x14:formula1>
            <xm:f>Data!$L$24:$L$28</xm:f>
          </x14:formula1>
          <xm:sqref>G87:R87</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DC3DD4-3FB0-46FE-BD04-2DD9557D40F8}">
  <sheetPr>
    <tabColor rgb="FFFFB900"/>
  </sheetPr>
  <dimension ref="A1:Z373"/>
  <sheetViews>
    <sheetView showGridLines="0" showRowColHeaders="0" zoomScale="85" zoomScaleNormal="85" workbookViewId="0">
      <selection activeCell="B8" sqref="B8"/>
    </sheetView>
  </sheetViews>
  <sheetFormatPr defaultColWidth="0" defaultRowHeight="14.45" zeroHeight="1" outlineLevelRow="1"/>
  <cols>
    <col min="1" max="2" width="5.85546875" customWidth="1"/>
    <col min="3" max="3" width="3.85546875" customWidth="1"/>
    <col min="4" max="4" width="51.42578125" bestFit="1" customWidth="1"/>
    <col min="5" max="5" width="14.85546875" bestFit="1" customWidth="1"/>
    <col min="6" max="6" width="18.140625" bestFit="1" customWidth="1"/>
    <col min="7" max="7" width="24.85546875" bestFit="1" customWidth="1"/>
    <col min="8" max="8" width="26" bestFit="1" customWidth="1"/>
    <col min="9" max="9" width="27.85546875" bestFit="1" customWidth="1"/>
    <col min="10" max="10" width="27" bestFit="1" customWidth="1"/>
    <col min="11" max="11" width="28" bestFit="1" customWidth="1"/>
    <col min="12" max="12" width="29.85546875" bestFit="1" customWidth="1"/>
    <col min="13" max="13" width="24.85546875" bestFit="1" customWidth="1"/>
    <col min="14" max="14" width="16.140625" bestFit="1" customWidth="1"/>
    <col min="15" max="16" width="9.42578125" bestFit="1" customWidth="1"/>
    <col min="17" max="17" width="9.42578125" customWidth="1"/>
    <col min="18" max="18" width="3.85546875" customWidth="1"/>
    <col min="19" max="25" width="8.85546875" hidden="1" customWidth="1"/>
    <col min="26" max="26" width="9" hidden="1" customWidth="1"/>
    <col min="27" max="16384" width="8.85546875" hidden="1"/>
  </cols>
  <sheetData>
    <row r="1" spans="1:18">
      <c r="A1" s="4"/>
      <c r="B1" s="4"/>
      <c r="C1" s="4"/>
      <c r="D1" s="4"/>
      <c r="E1" s="4"/>
      <c r="F1" s="4"/>
      <c r="G1" s="4"/>
      <c r="H1" s="4"/>
      <c r="I1" s="4"/>
      <c r="J1" s="4"/>
      <c r="K1" s="4"/>
      <c r="L1" s="4"/>
      <c r="M1" s="4"/>
      <c r="N1" s="4"/>
      <c r="O1" s="4"/>
      <c r="P1" s="4"/>
      <c r="Q1" s="4"/>
      <c r="R1" s="4"/>
    </row>
    <row r="2" spans="1:18" ht="21">
      <c r="A2" s="4"/>
      <c r="B2" s="4"/>
      <c r="C2" s="618" t="s">
        <v>1434</v>
      </c>
      <c r="D2" s="618"/>
      <c r="E2" s="618"/>
      <c r="F2" s="618"/>
      <c r="G2" s="618"/>
      <c r="H2" s="618"/>
      <c r="I2" s="618"/>
      <c r="J2" s="618"/>
      <c r="K2" s="618"/>
      <c r="L2" s="618"/>
      <c r="M2" s="618"/>
      <c r="N2" s="618"/>
      <c r="O2" s="618"/>
      <c r="P2" s="618"/>
      <c r="Q2" s="618"/>
      <c r="R2" s="4"/>
    </row>
    <row r="3" spans="1:18">
      <c r="A3" s="4"/>
      <c r="B3" s="4"/>
      <c r="C3" s="646" t="s">
        <v>1341</v>
      </c>
      <c r="D3" s="646"/>
      <c r="E3" s="646"/>
      <c r="F3" s="646"/>
      <c r="G3" s="646"/>
      <c r="H3" s="646"/>
      <c r="I3" s="646"/>
      <c r="J3" s="646"/>
      <c r="K3" s="646"/>
      <c r="L3" s="646"/>
      <c r="M3" s="646"/>
      <c r="N3" s="646"/>
      <c r="O3" s="646"/>
      <c r="P3" s="646"/>
      <c r="Q3" s="646"/>
      <c r="R3" s="4"/>
    </row>
    <row r="4" spans="1:18">
      <c r="A4" s="4"/>
      <c r="B4" s="4"/>
      <c r="C4" s="4"/>
      <c r="D4" s="4"/>
      <c r="E4" s="4"/>
      <c r="F4" s="4"/>
      <c r="G4" s="4"/>
      <c r="H4" s="4"/>
      <c r="I4" s="4"/>
      <c r="J4" s="4"/>
      <c r="K4" s="4"/>
      <c r="L4" s="4"/>
      <c r="M4" s="4"/>
      <c r="N4" s="4"/>
      <c r="O4" s="4"/>
      <c r="P4" s="4"/>
      <c r="Q4" s="4"/>
      <c r="R4" s="4"/>
    </row>
    <row r="5" spans="1:18">
      <c r="A5" s="4"/>
      <c r="B5" s="4"/>
      <c r="C5" s="7"/>
      <c r="D5" s="7"/>
      <c r="E5" s="7"/>
      <c r="F5" s="7"/>
      <c r="G5" s="7"/>
      <c r="H5" s="7"/>
      <c r="I5" s="7"/>
      <c r="J5" s="7"/>
      <c r="K5" s="7"/>
      <c r="L5" s="7"/>
      <c r="M5" s="7"/>
      <c r="N5" s="7"/>
      <c r="O5" s="7"/>
      <c r="P5" s="7"/>
      <c r="Q5" s="7"/>
      <c r="R5" s="4"/>
    </row>
    <row r="6" spans="1:18">
      <c r="A6" s="4"/>
      <c r="B6" s="4"/>
      <c r="C6" s="7"/>
      <c r="D6" s="107" t="s">
        <v>890</v>
      </c>
      <c r="E6" s="648" t="s">
        <v>891</v>
      </c>
      <c r="F6" s="648"/>
      <c r="G6" s="648"/>
      <c r="H6" s="648"/>
      <c r="I6" s="7"/>
      <c r="J6" s="7"/>
      <c r="K6" s="7"/>
      <c r="L6" s="7"/>
      <c r="M6" s="7"/>
      <c r="N6" s="7"/>
      <c r="O6" s="7"/>
      <c r="P6" s="7"/>
      <c r="Q6" s="7"/>
      <c r="R6" s="4"/>
    </row>
    <row r="7" spans="1:18">
      <c r="A7" s="4"/>
      <c r="B7" s="4"/>
      <c r="C7" s="7"/>
      <c r="D7" s="107" t="s">
        <v>892</v>
      </c>
      <c r="E7" s="648" t="s">
        <v>893</v>
      </c>
      <c r="F7" s="648"/>
      <c r="G7" s="648"/>
      <c r="H7" s="648"/>
      <c r="I7" s="7"/>
      <c r="J7" s="7"/>
      <c r="K7" s="7"/>
      <c r="L7" s="7"/>
      <c r="M7" s="7"/>
      <c r="N7" s="7"/>
      <c r="O7" s="7"/>
      <c r="P7" s="7"/>
      <c r="Q7" s="7"/>
      <c r="R7" s="4"/>
    </row>
    <row r="8" spans="1:18">
      <c r="A8" s="4"/>
      <c r="B8" s="4"/>
      <c r="C8" s="7"/>
      <c r="D8" s="107" t="s">
        <v>117</v>
      </c>
      <c r="E8" s="648" t="s">
        <v>894</v>
      </c>
      <c r="F8" s="648"/>
      <c r="G8" s="648"/>
      <c r="H8" s="648"/>
      <c r="I8" s="7"/>
      <c r="J8" s="7"/>
      <c r="K8" s="7"/>
      <c r="L8" s="7"/>
      <c r="M8" s="7"/>
      <c r="N8" s="7"/>
      <c r="O8" s="7"/>
      <c r="P8" s="7"/>
      <c r="Q8" s="7"/>
      <c r="R8" s="4"/>
    </row>
    <row r="9" spans="1:18">
      <c r="A9" s="4"/>
      <c r="B9" s="4"/>
      <c r="C9" s="7"/>
      <c r="D9" s="107" t="s">
        <v>822</v>
      </c>
      <c r="E9" s="648"/>
      <c r="F9" s="648"/>
      <c r="G9" s="648"/>
      <c r="H9" s="648"/>
      <c r="I9" s="7"/>
      <c r="J9" s="7"/>
      <c r="K9" s="7"/>
      <c r="L9" s="7"/>
      <c r="M9" s="7"/>
      <c r="N9" s="7"/>
      <c r="O9" s="7"/>
      <c r="P9" s="7"/>
      <c r="Q9" s="7"/>
      <c r="R9" s="4"/>
    </row>
    <row r="10" spans="1:18">
      <c r="A10" s="4"/>
      <c r="B10" s="4"/>
      <c r="C10" s="7"/>
      <c r="D10" s="107" t="s">
        <v>895</v>
      </c>
      <c r="E10" s="648"/>
      <c r="F10" s="648"/>
      <c r="G10" s="648"/>
      <c r="H10" s="648"/>
      <c r="I10" s="7"/>
      <c r="J10" s="7"/>
      <c r="K10" s="7"/>
      <c r="L10" s="7"/>
      <c r="M10" s="7"/>
      <c r="N10" s="7"/>
      <c r="O10" s="7"/>
      <c r="P10" s="7"/>
      <c r="Q10" s="7"/>
      <c r="R10" s="4"/>
    </row>
    <row r="11" spans="1:18">
      <c r="A11" s="4"/>
      <c r="B11" s="4"/>
      <c r="C11" s="7"/>
      <c r="D11" s="107" t="s">
        <v>896</v>
      </c>
      <c r="E11" s="648"/>
      <c r="F11" s="648"/>
      <c r="G11" s="648"/>
      <c r="H11" s="648"/>
      <c r="I11" s="7"/>
      <c r="J11" s="7"/>
      <c r="K11" s="7"/>
      <c r="L11" s="7"/>
      <c r="M11" s="7"/>
      <c r="N11" s="7"/>
      <c r="O11" s="7"/>
      <c r="P11" s="7"/>
      <c r="Q11" s="7"/>
      <c r="R11" s="4"/>
    </row>
    <row r="12" spans="1:18">
      <c r="A12" s="4"/>
      <c r="B12" s="4"/>
      <c r="C12" s="7"/>
      <c r="D12" s="107" t="s">
        <v>477</v>
      </c>
      <c r="E12" s="648"/>
      <c r="F12" s="648"/>
      <c r="G12" s="648"/>
      <c r="H12" s="648"/>
      <c r="I12" s="7"/>
      <c r="J12" s="7"/>
      <c r="K12" s="7"/>
      <c r="L12" s="7"/>
      <c r="M12" s="7"/>
      <c r="N12" s="7"/>
      <c r="O12" s="7"/>
      <c r="P12" s="7"/>
      <c r="Q12" s="7"/>
      <c r="R12" s="4"/>
    </row>
    <row r="13" spans="1:18">
      <c r="A13" s="4"/>
      <c r="B13" s="4"/>
      <c r="C13" s="7"/>
      <c r="D13" s="107" t="s">
        <v>897</v>
      </c>
      <c r="E13" s="648" t="s">
        <v>317</v>
      </c>
      <c r="F13" s="648"/>
      <c r="G13" s="648"/>
      <c r="H13" s="648"/>
      <c r="I13" s="7"/>
      <c r="J13" s="7"/>
      <c r="K13" s="7"/>
      <c r="L13" s="7"/>
      <c r="M13" s="7"/>
      <c r="N13" s="7"/>
      <c r="O13" s="7"/>
      <c r="P13" s="7"/>
      <c r="Q13" s="7"/>
      <c r="R13" s="4"/>
    </row>
    <row r="14" spans="1:18">
      <c r="A14" s="4"/>
      <c r="B14" s="4"/>
      <c r="C14" s="7"/>
      <c r="D14" s="107" t="s">
        <v>267</v>
      </c>
      <c r="E14" s="650" t="s">
        <v>328</v>
      </c>
      <c r="F14" s="650"/>
      <c r="G14" s="650"/>
      <c r="H14" s="650"/>
      <c r="I14" s="7"/>
      <c r="J14" s="7"/>
      <c r="K14" s="7"/>
      <c r="L14" s="7"/>
      <c r="M14" s="7"/>
      <c r="N14" s="7"/>
      <c r="O14" s="7"/>
      <c r="P14" s="7"/>
      <c r="Q14" s="7"/>
      <c r="R14" s="4"/>
    </row>
    <row r="15" spans="1:18">
      <c r="A15" s="4"/>
      <c r="B15" s="4"/>
      <c r="C15" s="7"/>
      <c r="D15" s="107" t="s">
        <v>898</v>
      </c>
      <c r="E15" s="653" t="s">
        <v>899</v>
      </c>
      <c r="F15" s="676"/>
      <c r="G15" s="676"/>
      <c r="H15" s="654"/>
      <c r="I15" s="7"/>
      <c r="J15" s="7"/>
      <c r="K15" s="7"/>
      <c r="L15" s="7"/>
      <c r="M15" s="7"/>
      <c r="N15" s="7"/>
      <c r="O15" s="7"/>
      <c r="P15" s="7"/>
      <c r="Q15" s="7"/>
      <c r="R15" s="4"/>
    </row>
    <row r="16" spans="1:18">
      <c r="A16" s="4"/>
      <c r="B16" s="4"/>
      <c r="C16" s="7"/>
      <c r="D16" s="107" t="s">
        <v>900</v>
      </c>
      <c r="E16" s="651">
        <v>45020</v>
      </c>
      <c r="F16" s="651"/>
      <c r="G16" s="651"/>
      <c r="H16" s="651"/>
      <c r="I16" s="7"/>
      <c r="J16" s="7"/>
      <c r="K16" s="7"/>
      <c r="L16" s="7"/>
      <c r="M16" s="7"/>
      <c r="N16" s="7"/>
      <c r="O16" s="7"/>
      <c r="P16" s="7"/>
      <c r="Q16" s="7"/>
      <c r="R16" s="4"/>
    </row>
    <row r="17" spans="1:18">
      <c r="A17" s="4"/>
      <c r="B17" s="4"/>
      <c r="C17" s="7"/>
      <c r="D17" s="107" t="s">
        <v>901</v>
      </c>
      <c r="E17" s="651">
        <v>45386</v>
      </c>
      <c r="F17" s="651"/>
      <c r="G17" s="651"/>
      <c r="H17" s="651"/>
      <c r="I17" s="7"/>
      <c r="J17" s="7"/>
      <c r="K17" s="7"/>
      <c r="L17" s="7"/>
      <c r="M17" s="7"/>
      <c r="N17" s="7"/>
      <c r="O17" s="7"/>
      <c r="P17" s="7"/>
      <c r="Q17" s="7"/>
      <c r="R17" s="4"/>
    </row>
    <row r="18" spans="1:18">
      <c r="A18" s="4"/>
      <c r="B18" s="4"/>
      <c r="C18" s="7"/>
      <c r="D18" s="107" t="s">
        <v>902</v>
      </c>
      <c r="E18" s="652">
        <v>43160</v>
      </c>
      <c r="F18" s="652"/>
      <c r="G18" s="652"/>
      <c r="H18" s="652"/>
      <c r="I18" s="7"/>
      <c r="J18" s="7"/>
      <c r="K18" s="7"/>
      <c r="L18" s="7"/>
      <c r="M18" s="7"/>
      <c r="N18" s="7"/>
      <c r="O18" s="7"/>
      <c r="P18" s="7"/>
      <c r="Q18" s="7"/>
      <c r="R18" s="4"/>
    </row>
    <row r="19" spans="1:18">
      <c r="A19" s="4"/>
      <c r="B19" s="4"/>
      <c r="C19" s="7"/>
      <c r="D19" s="107" t="s">
        <v>903</v>
      </c>
      <c r="E19" s="652" t="s">
        <v>904</v>
      </c>
      <c r="F19" s="652"/>
      <c r="G19" s="652"/>
      <c r="H19" s="652"/>
      <c r="I19" s="7"/>
      <c r="J19" s="7"/>
      <c r="K19" s="7"/>
      <c r="L19" s="7"/>
      <c r="M19" s="7"/>
      <c r="N19" s="7"/>
      <c r="O19" s="7"/>
      <c r="P19" s="7"/>
      <c r="Q19" s="7"/>
      <c r="R19" s="4"/>
    </row>
    <row r="20" spans="1:18">
      <c r="A20" s="4"/>
      <c r="B20" s="4"/>
      <c r="C20" s="7"/>
      <c r="D20" s="107" t="s">
        <v>905</v>
      </c>
      <c r="E20" s="652" t="s">
        <v>906</v>
      </c>
      <c r="F20" s="652"/>
      <c r="G20" s="652"/>
      <c r="H20" s="652"/>
      <c r="I20" s="7"/>
      <c r="J20" s="7"/>
      <c r="K20" s="7"/>
      <c r="L20" s="7"/>
      <c r="M20" s="7"/>
      <c r="N20" s="7"/>
      <c r="O20" s="7"/>
      <c r="P20" s="7"/>
      <c r="Q20" s="7"/>
      <c r="R20" s="4"/>
    </row>
    <row r="21" spans="1:18">
      <c r="A21" s="4"/>
      <c r="B21" s="4"/>
      <c r="C21" s="7"/>
      <c r="D21" s="108" t="s">
        <v>907</v>
      </c>
      <c r="E21" s="649" t="s">
        <v>908</v>
      </c>
      <c r="F21" s="649"/>
      <c r="G21" s="649"/>
      <c r="H21" s="649"/>
      <c r="I21" s="7"/>
      <c r="J21" s="7"/>
      <c r="K21" s="7"/>
      <c r="L21" s="7"/>
      <c r="M21" s="7"/>
      <c r="N21" s="7"/>
      <c r="O21" s="7"/>
      <c r="P21" s="7"/>
      <c r="Q21" s="7"/>
      <c r="R21" s="4"/>
    </row>
    <row r="22" spans="1:18">
      <c r="A22" s="4"/>
      <c r="B22" s="4"/>
      <c r="C22" s="7"/>
      <c r="D22" s="7"/>
      <c r="E22" s="7"/>
      <c r="F22" s="7"/>
      <c r="G22" s="7"/>
      <c r="H22" s="7"/>
      <c r="I22" s="7"/>
      <c r="J22" s="7"/>
      <c r="K22" s="7"/>
      <c r="L22" s="7"/>
      <c r="M22" s="7"/>
      <c r="N22" s="7"/>
      <c r="O22" s="7"/>
      <c r="P22" s="7"/>
      <c r="Q22" s="7"/>
      <c r="R22" s="4"/>
    </row>
    <row r="23" spans="1:18">
      <c r="A23" s="4"/>
      <c r="B23" s="4"/>
      <c r="C23" s="4"/>
      <c r="D23" s="4"/>
      <c r="E23" s="4"/>
      <c r="F23" s="4"/>
      <c r="G23" s="4"/>
      <c r="H23" s="4"/>
      <c r="I23" s="4"/>
      <c r="J23" s="4"/>
      <c r="K23" s="4"/>
      <c r="L23" s="4"/>
      <c r="M23" s="4"/>
      <c r="N23" s="4"/>
      <c r="O23" s="4"/>
      <c r="P23" s="4"/>
      <c r="Q23" s="4"/>
      <c r="R23" s="4"/>
    </row>
    <row r="24" spans="1:18">
      <c r="A24" s="4"/>
      <c r="B24" s="4"/>
      <c r="C24" s="7"/>
      <c r="D24" s="70"/>
      <c r="E24" s="70"/>
      <c r="F24" s="7"/>
      <c r="G24" s="7"/>
      <c r="H24" s="7"/>
      <c r="I24" s="7"/>
      <c r="J24" s="7"/>
      <c r="K24" s="7"/>
      <c r="L24" s="7"/>
      <c r="M24" s="7"/>
      <c r="N24" s="7"/>
      <c r="O24" s="7"/>
      <c r="P24" s="7"/>
      <c r="Q24" s="7"/>
      <c r="R24" s="4"/>
    </row>
    <row r="25" spans="1:18">
      <c r="A25" s="4"/>
      <c r="B25" s="4"/>
      <c r="C25" s="7"/>
      <c r="D25" s="140" t="s">
        <v>1435</v>
      </c>
      <c r="E25" s="141">
        <f ca="1">YEAR(TODAY())</f>
        <v>2023</v>
      </c>
      <c r="F25" s="7"/>
      <c r="G25" s="7"/>
      <c r="H25" s="7"/>
      <c r="I25" s="7"/>
      <c r="J25" s="7"/>
      <c r="K25" s="7"/>
      <c r="L25" s="7"/>
      <c r="M25" s="7"/>
      <c r="N25" s="7"/>
      <c r="O25" s="7"/>
      <c r="P25" s="7"/>
      <c r="Q25" s="7"/>
      <c r="R25" s="4"/>
    </row>
    <row r="26" spans="1:18">
      <c r="A26" s="4"/>
      <c r="B26" s="4"/>
      <c r="C26" s="7"/>
      <c r="D26" s="142" t="s">
        <v>1436</v>
      </c>
      <c r="E26" s="143" t="str">
        <f ca="1">IF(OR(MOD(E25,400)=0,AND(MOD(E25,4)=0,MOD(E25,100)&lt;&gt;0)),"Yes", "No")</f>
        <v>No</v>
      </c>
      <c r="F26" s="7"/>
      <c r="G26" s="7"/>
      <c r="H26" s="7"/>
      <c r="I26" s="7"/>
      <c r="J26" s="7"/>
      <c r="K26" s="7"/>
      <c r="L26" s="7"/>
      <c r="M26" s="7"/>
      <c r="N26" s="7"/>
      <c r="O26" s="7"/>
      <c r="P26" s="7"/>
      <c r="Q26" s="7"/>
      <c r="R26" s="4"/>
    </row>
    <row r="27" spans="1:18">
      <c r="A27" s="4"/>
      <c r="B27" s="4"/>
      <c r="C27" s="7"/>
      <c r="D27" s="144" t="s">
        <v>1437</v>
      </c>
      <c r="E27" s="145">
        <f ca="1">IF(E26="No", 365, 366)</f>
        <v>365</v>
      </c>
      <c r="F27" s="7"/>
      <c r="G27" s="7"/>
      <c r="H27" s="7"/>
      <c r="I27" s="7"/>
      <c r="J27" s="7"/>
      <c r="K27" s="7"/>
      <c r="L27" s="7"/>
      <c r="M27" s="7"/>
      <c r="N27" s="7"/>
      <c r="O27" s="7"/>
      <c r="P27" s="7"/>
      <c r="Q27" s="7"/>
      <c r="R27" s="4"/>
    </row>
    <row r="28" spans="1:18">
      <c r="A28" s="4"/>
      <c r="B28" s="4"/>
      <c r="C28" s="7"/>
      <c r="E28" s="70"/>
      <c r="F28" s="7"/>
      <c r="G28" s="7"/>
      <c r="H28" s="7"/>
      <c r="I28" s="7"/>
      <c r="J28" s="7"/>
      <c r="K28" s="7"/>
      <c r="L28" s="7"/>
      <c r="M28" s="7"/>
      <c r="N28" s="7"/>
      <c r="O28" s="7"/>
      <c r="P28" s="7"/>
      <c r="Q28" s="7"/>
      <c r="R28" s="4"/>
    </row>
    <row r="29" spans="1:18">
      <c r="A29" s="4"/>
      <c r="B29" s="4"/>
      <c r="C29" s="4"/>
      <c r="D29" s="4"/>
      <c r="E29" s="11"/>
      <c r="F29" s="4"/>
      <c r="G29" s="4"/>
      <c r="H29" s="4"/>
      <c r="I29" s="4"/>
      <c r="J29" s="4"/>
      <c r="K29" s="4"/>
      <c r="L29" s="4"/>
      <c r="M29" s="4"/>
      <c r="N29" s="4"/>
      <c r="O29" s="4"/>
      <c r="P29" s="4"/>
      <c r="Q29" s="4"/>
      <c r="R29" s="4"/>
    </row>
    <row r="30" spans="1:18" ht="18.600000000000001">
      <c r="A30" s="4"/>
      <c r="B30" s="4"/>
      <c r="C30" s="102" t="s">
        <v>1360</v>
      </c>
      <c r="D30" s="102"/>
      <c r="E30" s="102"/>
      <c r="F30" s="102"/>
      <c r="G30" s="102"/>
      <c r="H30" s="102"/>
      <c r="I30" s="102"/>
      <c r="J30" s="102"/>
      <c r="K30" s="102"/>
      <c r="L30" s="102"/>
      <c r="M30" s="102"/>
      <c r="N30" s="102"/>
      <c r="O30" s="102"/>
      <c r="P30" s="102"/>
      <c r="Q30" s="102"/>
      <c r="R30" s="4"/>
    </row>
    <row r="31" spans="1:18" hidden="1" outlineLevel="1">
      <c r="A31" s="4"/>
      <c r="B31" s="4"/>
      <c r="C31" s="4"/>
      <c r="D31" s="4"/>
      <c r="E31" s="4"/>
      <c r="F31" s="4"/>
      <c r="G31" s="4"/>
      <c r="H31" s="4"/>
      <c r="I31" s="4"/>
      <c r="J31" s="4"/>
      <c r="K31" s="4"/>
      <c r="L31" s="4"/>
      <c r="M31" s="4"/>
      <c r="N31" s="4"/>
      <c r="O31" s="4"/>
      <c r="P31" s="4"/>
      <c r="Q31" s="4"/>
      <c r="R31" s="4"/>
    </row>
    <row r="32" spans="1:18" hidden="1" outlineLevel="1">
      <c r="A32" s="4"/>
      <c r="B32" s="4"/>
      <c r="C32" s="7"/>
      <c r="D32" s="7"/>
      <c r="E32" s="7"/>
      <c r="F32" s="7"/>
      <c r="G32" s="7"/>
      <c r="H32" s="7"/>
      <c r="I32" s="7"/>
      <c r="J32" s="7"/>
      <c r="K32" s="7"/>
      <c r="L32" s="7"/>
      <c r="M32" s="7"/>
      <c r="N32" s="7"/>
      <c r="O32" s="7"/>
      <c r="P32" s="7"/>
      <c r="Q32" s="7"/>
      <c r="R32" s="4"/>
    </row>
    <row r="33" spans="1:18" ht="29.1" hidden="1" outlineLevel="1">
      <c r="A33" s="4"/>
      <c r="B33" s="4"/>
      <c r="C33" s="7"/>
      <c r="D33" s="686" t="s">
        <v>1438</v>
      </c>
      <c r="E33" s="334" t="s">
        <v>1345</v>
      </c>
      <c r="F33" s="266" t="s">
        <v>1439</v>
      </c>
      <c r="G33" s="266" t="s">
        <v>1347</v>
      </c>
      <c r="H33" s="266" t="s">
        <v>1348</v>
      </c>
      <c r="I33" s="266" t="s">
        <v>1349</v>
      </c>
      <c r="J33" s="266" t="s">
        <v>1350</v>
      </c>
      <c r="K33" s="266" t="s">
        <v>1351</v>
      </c>
      <c r="L33" s="266" t="s">
        <v>1352</v>
      </c>
      <c r="M33" s="266" t="s">
        <v>1440</v>
      </c>
      <c r="N33" s="266" t="s">
        <v>1441</v>
      </c>
      <c r="O33" s="7"/>
      <c r="P33" s="7"/>
      <c r="Q33" s="7"/>
      <c r="R33" s="4"/>
    </row>
    <row r="34" spans="1:18" hidden="1" outlineLevel="1">
      <c r="A34" s="4"/>
      <c r="B34" s="4"/>
      <c r="C34" s="7"/>
      <c r="D34" s="687"/>
      <c r="E34" s="335" t="s">
        <v>1442</v>
      </c>
      <c r="F34" s="334">
        <f t="shared" ref="F34:N34" si="0">F58</f>
        <v>0.96661555330610061</v>
      </c>
      <c r="G34" s="336">
        <f t="shared" ca="1" si="0"/>
        <v>12.185323043273286</v>
      </c>
      <c r="H34" s="336">
        <f t="shared" ca="1" si="0"/>
        <v>292.44775303855931</v>
      </c>
      <c r="I34" s="336">
        <f t="shared" ca="1" si="0"/>
        <v>17546.865182313559</v>
      </c>
      <c r="J34" s="336">
        <f t="shared" ca="1" si="0"/>
        <v>1.015443586939442</v>
      </c>
      <c r="K34" s="336">
        <f t="shared" ca="1" si="0"/>
        <v>24.370646086546611</v>
      </c>
      <c r="L34" s="336">
        <f t="shared" ca="1" si="0"/>
        <v>1462.2387651927966</v>
      </c>
      <c r="M34" s="334">
        <f t="shared" si="0"/>
        <v>6.6708056250000007E-3</v>
      </c>
      <c r="N34" s="334">
        <f t="shared" si="0"/>
        <v>1</v>
      </c>
      <c r="O34" s="7"/>
      <c r="P34" s="7"/>
      <c r="Q34" s="7"/>
      <c r="R34" s="4"/>
    </row>
    <row r="35" spans="1:18" hidden="1" outlineLevel="1">
      <c r="A35" s="4"/>
      <c r="B35" s="4"/>
      <c r="C35" s="7"/>
      <c r="D35" s="687"/>
      <c r="E35" s="337" t="s">
        <v>1443</v>
      </c>
      <c r="F35" s="338">
        <f t="shared" ref="F35:N35" si="1">F76</f>
        <v>0.96804780878096308</v>
      </c>
      <c r="G35" s="336">
        <f t="shared" ca="1" si="1"/>
        <v>11.662549794948461</v>
      </c>
      <c r="H35" s="336">
        <f t="shared" ca="1" si="1"/>
        <v>279.90119507876261</v>
      </c>
      <c r="I35" s="336">
        <f t="shared" ca="1" si="1"/>
        <v>16794.071704725757</v>
      </c>
      <c r="J35" s="336">
        <f t="shared" ca="1" si="1"/>
        <v>0.97187914957903676</v>
      </c>
      <c r="K35" s="336">
        <f t="shared" ca="1" si="1"/>
        <v>23.325099589896883</v>
      </c>
      <c r="L35" s="336">
        <f t="shared" ca="1" si="1"/>
        <v>1399.5059753938131</v>
      </c>
      <c r="M35" s="334">
        <f t="shared" si="1"/>
        <v>6.6708056250000007E-3</v>
      </c>
      <c r="N35" s="334">
        <f t="shared" si="1"/>
        <v>1</v>
      </c>
      <c r="O35" s="7"/>
      <c r="P35" s="7"/>
      <c r="Q35" s="7"/>
      <c r="R35" s="4"/>
    </row>
    <row r="36" spans="1:18" hidden="1" outlineLevel="1">
      <c r="A36" s="4"/>
      <c r="B36" s="4"/>
      <c r="C36" s="7"/>
      <c r="D36" s="688"/>
      <c r="E36" s="337" t="s">
        <v>1444</v>
      </c>
      <c r="F36" s="338">
        <f>F35-F34</f>
        <v>1.4322554748624761E-3</v>
      </c>
      <c r="G36" s="336">
        <f ca="1">G35-G34</f>
        <v>-0.52277324832482464</v>
      </c>
      <c r="H36" s="336">
        <f ca="1">H35-H34</f>
        <v>-12.546557959796701</v>
      </c>
      <c r="I36" s="336">
        <f t="shared" ref="I36:L36" ca="1" si="2">I35-I34</f>
        <v>-752.79347758780204</v>
      </c>
      <c r="J36" s="336">
        <f t="shared" ca="1" si="2"/>
        <v>-4.3564437360405273E-2</v>
      </c>
      <c r="K36" s="336">
        <f t="shared" ca="1" si="2"/>
        <v>-1.0455464966497274</v>
      </c>
      <c r="L36" s="336">
        <f t="shared" ca="1" si="2"/>
        <v>-62.732789798983504</v>
      </c>
      <c r="M36" s="334">
        <f t="shared" ref="M36:N36" si="3">M35-M34</f>
        <v>0</v>
      </c>
      <c r="N36" s="334">
        <f t="shared" si="3"/>
        <v>0</v>
      </c>
      <c r="O36" s="7"/>
      <c r="P36" s="7"/>
      <c r="Q36" s="7"/>
      <c r="R36" s="4"/>
    </row>
    <row r="37" spans="1:18" hidden="1" outlineLevel="1">
      <c r="A37" s="4"/>
      <c r="B37" s="4"/>
      <c r="C37" s="7"/>
      <c r="D37" s="7"/>
      <c r="E37" s="7"/>
      <c r="F37" s="7"/>
      <c r="G37" s="7"/>
      <c r="H37" s="7"/>
      <c r="I37" s="7"/>
      <c r="J37" s="7"/>
      <c r="K37" s="7"/>
      <c r="L37" s="7"/>
      <c r="M37" s="7"/>
      <c r="N37" s="7"/>
      <c r="O37" s="7"/>
      <c r="P37" s="7"/>
      <c r="Q37" s="7"/>
      <c r="R37" s="4"/>
    </row>
    <row r="38" spans="1:18" hidden="1" outlineLevel="1">
      <c r="A38" s="4"/>
      <c r="B38" s="4"/>
      <c r="C38" s="7"/>
      <c r="D38" s="124" t="s">
        <v>1445</v>
      </c>
      <c r="E38" s="7"/>
      <c r="F38" s="7"/>
      <c r="G38" s="7"/>
      <c r="H38" s="7"/>
      <c r="I38" s="7"/>
      <c r="J38" s="7"/>
      <c r="K38" s="7"/>
      <c r="L38" s="7"/>
      <c r="M38" s="7"/>
      <c r="N38" s="7"/>
      <c r="O38" s="7"/>
      <c r="P38" s="7"/>
      <c r="Q38" s="7"/>
      <c r="R38" s="4"/>
    </row>
    <row r="39" spans="1:18" hidden="1" outlineLevel="1">
      <c r="A39" s="4"/>
      <c r="B39" s="4"/>
      <c r="C39" s="7"/>
      <c r="D39" s="125" t="s">
        <v>1446</v>
      </c>
      <c r="E39" s="7"/>
      <c r="F39" s="7"/>
      <c r="G39" s="7"/>
      <c r="H39" s="7"/>
      <c r="I39" s="7"/>
      <c r="J39" s="7"/>
      <c r="K39" s="7"/>
      <c r="L39" s="7"/>
      <c r="M39" s="7"/>
      <c r="N39" s="7"/>
      <c r="O39" s="7"/>
      <c r="P39" s="7"/>
      <c r="Q39" s="7"/>
      <c r="R39" s="4"/>
    </row>
    <row r="40" spans="1:18" hidden="1" outlineLevel="1">
      <c r="A40" s="4"/>
      <c r="B40" s="4"/>
      <c r="C40" s="7"/>
      <c r="D40" s="127" t="s">
        <v>1447</v>
      </c>
      <c r="E40" s="7"/>
      <c r="F40" s="7"/>
      <c r="G40" s="7"/>
      <c r="H40" s="7"/>
      <c r="I40" s="7"/>
      <c r="J40" s="7"/>
      <c r="K40" s="7"/>
      <c r="L40" s="7"/>
      <c r="M40" s="7"/>
      <c r="N40" s="7"/>
      <c r="O40" s="7"/>
      <c r="P40" s="7"/>
      <c r="Q40" s="7"/>
      <c r="R40" s="4"/>
    </row>
    <row r="41" spans="1:18" hidden="1" outlineLevel="1">
      <c r="A41" s="4"/>
      <c r="B41" s="4"/>
      <c r="C41" s="7"/>
      <c r="D41" s="126" t="s">
        <v>1448</v>
      </c>
      <c r="E41" s="7"/>
      <c r="F41" s="7"/>
      <c r="G41" s="7"/>
      <c r="H41" s="7"/>
      <c r="I41" s="7"/>
      <c r="J41" s="7"/>
      <c r="K41" s="7"/>
      <c r="L41" s="7"/>
      <c r="M41" s="7"/>
      <c r="N41" s="7"/>
      <c r="O41" s="7"/>
      <c r="P41" s="7"/>
      <c r="Q41" s="7"/>
      <c r="R41" s="4"/>
    </row>
    <row r="42" spans="1:18" hidden="1" outlineLevel="1">
      <c r="A42" s="4"/>
      <c r="B42" s="4"/>
      <c r="C42" s="7"/>
      <c r="D42" s="235"/>
      <c r="E42" s="7"/>
      <c r="F42" s="7"/>
      <c r="G42" s="7"/>
      <c r="H42" s="7"/>
      <c r="I42" s="7"/>
      <c r="J42" s="7"/>
      <c r="K42" s="7"/>
      <c r="L42" s="7"/>
      <c r="M42" s="7"/>
      <c r="N42" s="7"/>
      <c r="O42" s="7"/>
      <c r="P42" s="7"/>
      <c r="Q42" s="7"/>
      <c r="R42" s="4"/>
    </row>
    <row r="43" spans="1:18" hidden="1" outlineLevel="1">
      <c r="A43" s="4"/>
      <c r="B43" s="4"/>
      <c r="C43" s="4"/>
      <c r="D43" s="11"/>
      <c r="E43" s="11"/>
      <c r="F43" s="4"/>
      <c r="G43" s="4"/>
      <c r="H43" s="4"/>
      <c r="I43" s="4"/>
      <c r="J43" s="4"/>
      <c r="K43" s="4"/>
      <c r="L43" s="4"/>
      <c r="M43" s="4"/>
      <c r="N43" s="4"/>
      <c r="O43" s="4"/>
      <c r="P43" s="4"/>
      <c r="Q43" s="4"/>
      <c r="R43" s="4"/>
    </row>
    <row r="44" spans="1:18" ht="18.600000000000001" hidden="1" outlineLevel="1">
      <c r="A44" s="101"/>
      <c r="B44" s="101"/>
      <c r="C44" s="562" t="s">
        <v>1449</v>
      </c>
      <c r="D44" s="102"/>
      <c r="E44" s="101"/>
      <c r="F44" s="101"/>
      <c r="G44" s="101"/>
      <c r="H44" s="101"/>
      <c r="I44" s="101"/>
      <c r="J44" s="101"/>
      <c r="K44" s="101"/>
      <c r="L44" s="101"/>
      <c r="M44" s="101"/>
      <c r="N44" s="101"/>
      <c r="O44" s="101"/>
      <c r="P44" s="101"/>
      <c r="Q44" s="101"/>
      <c r="R44" s="101"/>
    </row>
    <row r="45" spans="1:18" hidden="1" outlineLevel="1">
      <c r="A45" s="4"/>
      <c r="B45" s="4"/>
      <c r="C45" s="4"/>
      <c r="D45" s="4"/>
      <c r="E45" s="4"/>
      <c r="F45" s="4"/>
      <c r="G45" s="4"/>
      <c r="H45" s="4"/>
      <c r="I45" s="4"/>
      <c r="J45" s="4"/>
      <c r="K45" s="4"/>
      <c r="L45" s="4"/>
      <c r="M45" s="4"/>
      <c r="N45" s="4"/>
      <c r="O45" s="4"/>
      <c r="P45" s="4"/>
      <c r="Q45" s="4"/>
      <c r="R45" s="4"/>
    </row>
    <row r="46" spans="1:18" hidden="1" outlineLevel="1">
      <c r="A46" s="4"/>
      <c r="B46" s="4"/>
      <c r="C46" s="7"/>
      <c r="D46" s="7"/>
      <c r="E46" s="7"/>
      <c r="F46" s="7"/>
      <c r="G46" s="7"/>
      <c r="H46" s="7"/>
      <c r="I46" s="7"/>
      <c r="J46" s="7"/>
      <c r="K46" s="7"/>
      <c r="L46" s="7"/>
      <c r="M46" s="7"/>
      <c r="N46" s="7"/>
      <c r="O46" s="7"/>
      <c r="P46" s="7"/>
      <c r="Q46" s="7"/>
      <c r="R46" s="4"/>
    </row>
    <row r="47" spans="1:18" ht="29.1" hidden="1" outlineLevel="1">
      <c r="A47" s="4"/>
      <c r="B47" s="4"/>
      <c r="C47" s="7"/>
      <c r="D47" s="18" t="s">
        <v>1450</v>
      </c>
      <c r="E47" s="18" t="s">
        <v>1116</v>
      </c>
      <c r="F47" s="18" t="s">
        <v>207</v>
      </c>
      <c r="G47" s="18" t="s">
        <v>1347</v>
      </c>
      <c r="H47" s="18" t="s">
        <v>1348</v>
      </c>
      <c r="I47" s="18" t="s">
        <v>1349</v>
      </c>
      <c r="J47" s="18" t="s">
        <v>1350</v>
      </c>
      <c r="K47" s="18" t="s">
        <v>1351</v>
      </c>
      <c r="L47" s="18" t="s">
        <v>1352</v>
      </c>
      <c r="M47" s="18" t="s">
        <v>1353</v>
      </c>
      <c r="N47" s="18" t="s">
        <v>1354</v>
      </c>
      <c r="O47" s="18" t="s">
        <v>1362</v>
      </c>
      <c r="P47" s="18" t="s">
        <v>1363</v>
      </c>
      <c r="Q47" s="54"/>
      <c r="R47" s="4"/>
    </row>
    <row r="48" spans="1:18" ht="16.5" hidden="1" outlineLevel="1">
      <c r="A48" s="4"/>
      <c r="B48" s="4"/>
      <c r="C48" s="7"/>
      <c r="D48" s="16" t="s">
        <v>1364</v>
      </c>
      <c r="E48" s="16" t="s">
        <v>1365</v>
      </c>
      <c r="F48" s="330">
        <v>0.99990000000000001</v>
      </c>
      <c r="G48" s="331">
        <f ca="1">(E27) - Table472590[[#This Row],[SLA]]*(E27)</f>
        <v>3.6499999999989541E-2</v>
      </c>
      <c r="H48" s="331">
        <f ca="1">(24*E27) - Table472590[[#This Row],[SLA]]*(24*E27)</f>
        <v>0.87600000000020373</v>
      </c>
      <c r="I48" s="331">
        <f ca="1">Table472590[[#This Row],[Downtime/Year (Hours)]]*60</f>
        <v>52.560000000012224</v>
      </c>
      <c r="J48" s="331">
        <f ca="1">Table472590[[#This Row],[Downtime/Month (Hours)]]/24</f>
        <v>3.0416666666673742E-3</v>
      </c>
      <c r="K48" s="331">
        <f ca="1">Table472590[[#This Row],[Downtime/Year (Hours)]]/12</f>
        <v>7.3000000000016982E-2</v>
      </c>
      <c r="L48" s="331">
        <f ca="1">Table472590[[#This Row],[Downtime/Month (Hours)]]*60</f>
        <v>4.3800000000010186</v>
      </c>
      <c r="M48" s="330">
        <v>0.5</v>
      </c>
      <c r="N48" s="330">
        <v>1</v>
      </c>
      <c r="O48" s="332">
        <v>0</v>
      </c>
      <c r="P48" s="332">
        <v>1</v>
      </c>
      <c r="Q48" s="129"/>
      <c r="R48" s="4"/>
    </row>
    <row r="49" spans="1:18" hidden="1" outlineLevel="1">
      <c r="A49" s="4"/>
      <c r="B49" s="4"/>
      <c r="C49" s="7"/>
      <c r="D49" s="16" t="s">
        <v>977</v>
      </c>
      <c r="E49" s="16" t="s">
        <v>1365</v>
      </c>
      <c r="F49" s="330">
        <v>1</v>
      </c>
      <c r="G49" s="331">
        <f ca="1">(E27) - Table472590[[#This Row],[SLA]]*(E27)</f>
        <v>0</v>
      </c>
      <c r="H49" s="331">
        <f ca="1">(24*E27) - Table472590[[#This Row],[SLA]]*(24*E27)</f>
        <v>0</v>
      </c>
      <c r="I49" s="331">
        <f ca="1">Table472590[[#This Row],[Downtime/Year (Hours)]]*60</f>
        <v>0</v>
      </c>
      <c r="J49" s="331">
        <f ca="1">Table472590[[#This Row],[Downtime/Month (Hours)]]/24</f>
        <v>0</v>
      </c>
      <c r="K49" s="331">
        <f ca="1">Table472590[[#This Row],[Downtime/Year (Hours)]]/12</f>
        <v>0</v>
      </c>
      <c r="L49" s="331">
        <f ca="1">Table472590[[#This Row],[Downtime/Month (Hours)]]*60</f>
        <v>0</v>
      </c>
      <c r="M49" s="330">
        <v>0.5</v>
      </c>
      <c r="N49" s="330">
        <v>1</v>
      </c>
      <c r="O49" s="332">
        <v>0</v>
      </c>
      <c r="P49" s="332">
        <v>1</v>
      </c>
      <c r="Q49" s="129"/>
      <c r="R49" s="4"/>
    </row>
    <row r="50" spans="1:18" hidden="1" outlineLevel="1">
      <c r="A50" s="4"/>
      <c r="B50" s="4"/>
      <c r="C50" s="7"/>
      <c r="D50" s="16" t="s">
        <v>975</v>
      </c>
      <c r="E50" s="16" t="s">
        <v>1365</v>
      </c>
      <c r="F50" s="330">
        <v>0.99950000000000006</v>
      </c>
      <c r="G50" s="331">
        <f ca="1">(E27) - Table472590[[#This Row],[SLA]]*(E27)</f>
        <v>0.18250000000000455</v>
      </c>
      <c r="H50" s="331">
        <f ca="1">(24*E27) - Table472590[[#This Row],[SLA]]*(24*E27)</f>
        <v>4.3799999999991996</v>
      </c>
      <c r="I50" s="331">
        <f ca="1">Table472590[[#This Row],[Downtime/Year (Hours)]]*60</f>
        <v>262.79999999995198</v>
      </c>
      <c r="J50" s="331">
        <f ca="1">Table472590[[#This Row],[Downtime/Month (Hours)]]/24</f>
        <v>1.5208333333330555E-2</v>
      </c>
      <c r="K50" s="331">
        <f ca="1">Table472590[[#This Row],[Downtime/Year (Hours)]]/12</f>
        <v>0.36499999999993332</v>
      </c>
      <c r="L50" s="331">
        <f ca="1">Table472590[[#This Row],[Downtime/Month (Hours)]]*60</f>
        <v>21.899999999995998</v>
      </c>
      <c r="M50" s="330">
        <v>0.5</v>
      </c>
      <c r="N50" s="330">
        <v>1</v>
      </c>
      <c r="O50" s="332">
        <v>0</v>
      </c>
      <c r="P50" s="332">
        <v>1</v>
      </c>
      <c r="Q50" s="129"/>
      <c r="R50" s="4"/>
    </row>
    <row r="51" spans="1:18" hidden="1" outlineLevel="1">
      <c r="A51" s="4"/>
      <c r="B51" s="4"/>
      <c r="C51" s="7"/>
      <c r="D51" s="313" t="s">
        <v>981</v>
      </c>
      <c r="E51" s="16" t="s">
        <v>1365</v>
      </c>
      <c r="F51" s="330">
        <v>0.999</v>
      </c>
      <c r="G51" s="331">
        <f ca="1">(E27) - Table472590[[#This Row],[SLA]]*(E27)</f>
        <v>0.36500000000000909</v>
      </c>
      <c r="H51" s="331">
        <f ca="1">(24*E27) - Table472590[[#This Row],[SLA]]*(24*E27)</f>
        <v>8.7600000000002183</v>
      </c>
      <c r="I51" s="331">
        <f ca="1">Table472590[[#This Row],[Downtime/Year (Hours)]]*60</f>
        <v>525.6000000000131</v>
      </c>
      <c r="J51" s="331">
        <f ca="1">Table472590[[#This Row],[Downtime/Month (Hours)]]/24</f>
        <v>3.0416666666667425E-2</v>
      </c>
      <c r="K51" s="331">
        <f ca="1">Table472590[[#This Row],[Downtime/Year (Hours)]]/12</f>
        <v>0.73000000000001819</v>
      </c>
      <c r="L51" s="331">
        <f ca="1">Table472590[[#This Row],[Downtime/Month (Hours)]]*60</f>
        <v>43.800000000001091</v>
      </c>
      <c r="M51" s="330">
        <v>0.5</v>
      </c>
      <c r="N51" s="330">
        <v>1</v>
      </c>
      <c r="O51" s="332">
        <v>0</v>
      </c>
      <c r="P51" s="332">
        <v>1</v>
      </c>
      <c r="Q51" s="129"/>
      <c r="R51" s="4"/>
    </row>
    <row r="52" spans="1:18" hidden="1" outlineLevel="1">
      <c r="A52" s="4"/>
      <c r="B52" s="4"/>
      <c r="C52" s="7"/>
      <c r="D52" s="16" t="s">
        <v>979</v>
      </c>
      <c r="E52" s="16" t="s">
        <v>1365</v>
      </c>
      <c r="F52" s="330">
        <v>0.99950000000000006</v>
      </c>
      <c r="G52" s="331">
        <f ca="1">(E27) - Table472590[[#This Row],[SLA]]*(E27)</f>
        <v>0.18250000000000455</v>
      </c>
      <c r="H52" s="331">
        <f ca="1">(24*E27) - Table472590[[#This Row],[SLA]]*(24*E27)</f>
        <v>4.3799999999991996</v>
      </c>
      <c r="I52" s="331">
        <f ca="1">Table472590[[#This Row],[Downtime/Year (Hours)]]*60</f>
        <v>262.79999999995198</v>
      </c>
      <c r="J52" s="331">
        <f ca="1">Table472590[[#This Row],[Downtime/Month (Hours)]]/24</f>
        <v>1.5208333333330555E-2</v>
      </c>
      <c r="K52" s="331">
        <f ca="1">Table472590[[#This Row],[Downtime/Year (Hours)]]/12</f>
        <v>0.36499999999993332</v>
      </c>
      <c r="L52" s="331">
        <f ca="1">Table472590[[#This Row],[Downtime/Month (Hours)]]*60</f>
        <v>21.899999999995998</v>
      </c>
      <c r="M52" s="330">
        <v>0.75</v>
      </c>
      <c r="N52" s="330">
        <v>1</v>
      </c>
      <c r="O52" s="332">
        <v>0</v>
      </c>
      <c r="P52" s="332">
        <v>1</v>
      </c>
      <c r="Q52" s="129"/>
      <c r="R52" s="4"/>
    </row>
    <row r="53" spans="1:18" hidden="1" outlineLevel="1">
      <c r="A53" s="4"/>
      <c r="B53" s="4"/>
      <c r="C53" s="7"/>
      <c r="D53" s="16" t="s">
        <v>980</v>
      </c>
      <c r="E53" s="16" t="s">
        <v>1365</v>
      </c>
      <c r="F53" s="330">
        <v>0.999</v>
      </c>
      <c r="G53" s="331">
        <f ca="1">(E27) - Table472590[[#This Row],[SLA]]*(E27)</f>
        <v>0.36500000000000909</v>
      </c>
      <c r="H53" s="331">
        <f ca="1">(24*E27) - Table472590[[#This Row],[SLA]]*(24*E27)</f>
        <v>8.7600000000002183</v>
      </c>
      <c r="I53" s="331">
        <f ca="1">Table472590[[#This Row],[Downtime/Year (Hours)]]*60</f>
        <v>525.6000000000131</v>
      </c>
      <c r="J53" s="331">
        <f ca="1">Table472590[[#This Row],[Downtime/Month (Hours)]]/24</f>
        <v>3.0416666666667425E-2</v>
      </c>
      <c r="K53" s="331">
        <f ca="1">Table472590[[#This Row],[Downtime/Year (Hours)]]/12</f>
        <v>0.73000000000001819</v>
      </c>
      <c r="L53" s="331">
        <f ca="1">Table472590[[#This Row],[Downtime/Month (Hours)]]*60</f>
        <v>43.800000000001091</v>
      </c>
      <c r="M53" s="330">
        <v>0.66</v>
      </c>
      <c r="N53" s="330">
        <v>1</v>
      </c>
      <c r="O53" s="332">
        <v>0</v>
      </c>
      <c r="P53" s="332">
        <v>1</v>
      </c>
      <c r="Q53" s="129"/>
      <c r="R53" s="4"/>
    </row>
    <row r="54" spans="1:18" hidden="1" outlineLevel="1">
      <c r="A54" s="4"/>
      <c r="B54" s="4"/>
      <c r="C54" s="7"/>
      <c r="D54" s="16" t="s">
        <v>982</v>
      </c>
      <c r="E54" s="16" t="s">
        <v>1365</v>
      </c>
      <c r="F54" s="330">
        <v>0.99990000000000001</v>
      </c>
      <c r="G54" s="331">
        <f ca="1">(E27) - Table472590[[#This Row],[SLA]]*(E27)</f>
        <v>3.6499999999989541E-2</v>
      </c>
      <c r="H54" s="331">
        <f ca="1">(24*E27) - Table472590[[#This Row],[SLA]]*(24*E27)</f>
        <v>0.87600000000020373</v>
      </c>
      <c r="I54" s="331">
        <f ca="1">Table472590[[#This Row],[Downtime/Year (Hours)]]*60</f>
        <v>52.560000000012224</v>
      </c>
      <c r="J54" s="331">
        <f ca="1">Table472590[[#This Row],[Downtime/Month (Hours)]]/24</f>
        <v>3.0416666666673742E-3</v>
      </c>
      <c r="K54" s="331">
        <f ca="1">Table472590[[#This Row],[Downtime/Year (Hours)]]/12</f>
        <v>7.3000000000016982E-2</v>
      </c>
      <c r="L54" s="331">
        <f ca="1">Table472590[[#This Row],[Downtime/Month (Hours)]]*60</f>
        <v>4.3800000000010186</v>
      </c>
      <c r="M54" s="330">
        <v>0.75</v>
      </c>
      <c r="N54" s="330">
        <v>1</v>
      </c>
      <c r="O54" s="332">
        <v>1</v>
      </c>
      <c r="P54" s="332">
        <v>8</v>
      </c>
      <c r="Q54" s="129"/>
      <c r="R54" s="4"/>
    </row>
    <row r="55" spans="1:18" hidden="1" outlineLevel="1">
      <c r="A55" s="4"/>
      <c r="B55" s="4"/>
      <c r="C55" s="7"/>
      <c r="D55" s="16" t="s">
        <v>983</v>
      </c>
      <c r="E55" s="16" t="s">
        <v>1365</v>
      </c>
      <c r="F55" s="330">
        <v>0.99950000000000006</v>
      </c>
      <c r="G55" s="331">
        <f ca="1">(E27) - Table472590[[#This Row],[SLA]]*(E27)</f>
        <v>0.18250000000000455</v>
      </c>
      <c r="H55" s="331">
        <f ca="1">(24*E27) - Table472590[[#This Row],[SLA]]*(24*E27)</f>
        <v>4.3799999999991996</v>
      </c>
      <c r="I55" s="331">
        <f ca="1">Table472590[[#This Row],[Downtime/Year (Hours)]]*60</f>
        <v>262.79999999995198</v>
      </c>
      <c r="J55" s="331">
        <f ca="1">Table472590[[#This Row],[Downtime/Month (Hours)]]/24</f>
        <v>1.5208333333330555E-2</v>
      </c>
      <c r="K55" s="331">
        <f ca="1">Table472590[[#This Row],[Downtime/Year (Hours)]]/12</f>
        <v>0.36499999999993332</v>
      </c>
      <c r="L55" s="331">
        <f ca="1">Table472590[[#This Row],[Downtime/Month (Hours)]]*60</f>
        <v>21.899999999995998</v>
      </c>
      <c r="M55" s="330">
        <v>0.66</v>
      </c>
      <c r="N55" s="330">
        <v>1</v>
      </c>
      <c r="O55" s="332">
        <v>1</v>
      </c>
      <c r="P55" s="332">
        <v>8</v>
      </c>
      <c r="Q55" s="129"/>
      <c r="R55" s="4"/>
    </row>
    <row r="56" spans="1:18" ht="16.5" hidden="1" outlineLevel="1">
      <c r="A56" s="4"/>
      <c r="B56" s="4"/>
      <c r="C56" s="7"/>
      <c r="D56" s="18" t="s">
        <v>1366</v>
      </c>
      <c r="E56" s="18" t="s">
        <v>1367</v>
      </c>
      <c r="F56" s="330">
        <v>0.98</v>
      </c>
      <c r="G56" s="331">
        <f ca="1">(E27) - Table472590[[#This Row],[SLA]]*(E27)</f>
        <v>7.3000000000000114</v>
      </c>
      <c r="H56" s="331">
        <f ca="1">(24*E27) - Table472590[[#This Row],[SLA]]*(24*E27)</f>
        <v>175.20000000000073</v>
      </c>
      <c r="I56" s="331">
        <f ca="1">Table472590[[#This Row],[Downtime/Year (Hours)]]*60</f>
        <v>10512.000000000044</v>
      </c>
      <c r="J56" s="331">
        <f ca="1">Table472590[[#This Row],[Downtime/Month (Hours)]]/24</f>
        <v>0.60833333333333584</v>
      </c>
      <c r="K56" s="331">
        <f ca="1">Table472590[[#This Row],[Downtime/Year (Hours)]]/12</f>
        <v>14.60000000000006</v>
      </c>
      <c r="L56" s="331">
        <f ca="1">Table472590[[#This Row],[Downtime/Month (Hours)]]*60</f>
        <v>876.00000000000364</v>
      </c>
      <c r="M56" s="330">
        <v>0.66</v>
      </c>
      <c r="N56" s="330">
        <v>1</v>
      </c>
      <c r="O56" s="332">
        <v>1</v>
      </c>
      <c r="P56" s="332">
        <v>8</v>
      </c>
      <c r="Q56" s="129"/>
      <c r="R56" s="4"/>
    </row>
    <row r="57" spans="1:18" ht="16.5" hidden="1" outlineLevel="1">
      <c r="A57" s="4"/>
      <c r="B57" s="4"/>
      <c r="C57" s="7"/>
      <c r="D57" s="18" t="s">
        <v>1368</v>
      </c>
      <c r="E57" s="18" t="s">
        <v>1367</v>
      </c>
      <c r="F57" s="330">
        <v>0.99</v>
      </c>
      <c r="G57" s="331">
        <f ca="1">(E27) - Table472590[[#This Row],[SLA]]*(E27)</f>
        <v>3.6499999999999773</v>
      </c>
      <c r="H57" s="331">
        <f ca="1">(24*E27) - Table472590[[#This Row],[SLA]]*(24*E27)</f>
        <v>87.600000000000364</v>
      </c>
      <c r="I57" s="331">
        <f ca="1">Table472590[[#This Row],[Downtime/Year (Hours)]]*60</f>
        <v>5256.0000000000218</v>
      </c>
      <c r="J57" s="331">
        <f ca="1">Table472590[[#This Row],[Downtime/Month (Hours)]]/24</f>
        <v>0.30416666666666792</v>
      </c>
      <c r="K57" s="331">
        <f ca="1">Table472590[[#This Row],[Downtime/Year (Hours)]]/12</f>
        <v>7.30000000000003</v>
      </c>
      <c r="L57" s="331">
        <f ca="1">Table472590[[#This Row],[Downtime/Month (Hours)]]*60</f>
        <v>438.00000000000182</v>
      </c>
      <c r="M57" s="330">
        <v>0.66</v>
      </c>
      <c r="N57" s="330">
        <v>1</v>
      </c>
      <c r="O57" s="332">
        <v>1</v>
      </c>
      <c r="P57" s="332">
        <v>8</v>
      </c>
      <c r="Q57" s="129"/>
      <c r="R57" s="4"/>
    </row>
    <row r="58" spans="1:18" hidden="1" outlineLevel="1">
      <c r="A58" s="4"/>
      <c r="B58" s="4"/>
      <c r="C58" s="7"/>
      <c r="D58" s="16" t="s">
        <v>1369</v>
      </c>
      <c r="E58" s="16"/>
      <c r="F58" s="330">
        <f>F48*F49*F50*F51*F52*F53*F54*F55*F56*F57</f>
        <v>0.96661555330610061</v>
      </c>
      <c r="G58" s="331">
        <f ca="1">(E27) - Table472590[[#This Row],[SLA]]*(E27)</f>
        <v>12.185323043273286</v>
      </c>
      <c r="H58" s="331">
        <f ca="1">(24*E27) - Table472590[[#This Row],[SLA]]*(24*E27)</f>
        <v>292.44775303855931</v>
      </c>
      <c r="I58" s="331">
        <f ca="1">Table472590[[#This Row],[Downtime/Year (Hours)]]*60</f>
        <v>17546.865182313559</v>
      </c>
      <c r="J58" s="331">
        <f ca="1">Table472590[[#This Row],[Downtime/Month (Hours)]]/24</f>
        <v>1.015443586939442</v>
      </c>
      <c r="K58" s="331">
        <f ca="1">Table472590[[#This Row],[Downtime/Year (Hours)]]/12</f>
        <v>24.370646086546611</v>
      </c>
      <c r="L58" s="331">
        <f ca="1">Table472590[[#This Row],[Downtime/Month (Hours)]]*60</f>
        <v>1462.2387651927966</v>
      </c>
      <c r="M58" s="330">
        <f>M48*M49*M50*M51*M52*M53*M54*M55*M56*M57</f>
        <v>6.6708056250000007E-3</v>
      </c>
      <c r="N58" s="330">
        <f>N48*N49*N50*N51*N52*N53*N54*N55*N56*N57</f>
        <v>1</v>
      </c>
      <c r="O58" s="332">
        <f>MAX(O48:O57)</f>
        <v>1</v>
      </c>
      <c r="P58" s="332">
        <f>MAX(P48:P57)</f>
        <v>8</v>
      </c>
      <c r="Q58" s="130"/>
      <c r="R58" s="4"/>
    </row>
    <row r="59" spans="1:18" hidden="1" outlineLevel="1">
      <c r="A59" s="4"/>
      <c r="B59" s="4"/>
      <c r="C59" s="7"/>
      <c r="D59" s="7"/>
      <c r="E59" s="7"/>
      <c r="F59" s="7"/>
      <c r="G59" s="7"/>
      <c r="H59" s="7"/>
      <c r="I59" s="7"/>
      <c r="J59" s="7"/>
      <c r="K59" s="7"/>
      <c r="L59" s="7"/>
      <c r="M59" s="7"/>
      <c r="N59" s="7"/>
      <c r="O59" s="7"/>
      <c r="P59" s="7"/>
      <c r="Q59" s="7"/>
      <c r="R59" s="4"/>
    </row>
    <row r="60" spans="1:18" hidden="1" outlineLevel="1">
      <c r="A60" s="4"/>
      <c r="B60" s="4"/>
      <c r="C60" s="4"/>
      <c r="D60" s="4"/>
      <c r="E60" s="4"/>
      <c r="F60" s="4"/>
      <c r="G60" s="4"/>
      <c r="H60" s="4"/>
      <c r="I60" s="4"/>
      <c r="J60" s="4"/>
      <c r="K60" s="4"/>
      <c r="L60" s="4"/>
      <c r="M60" s="4"/>
      <c r="N60" s="4"/>
      <c r="O60" s="4"/>
      <c r="P60" s="4"/>
      <c r="Q60" s="4"/>
      <c r="R60" s="4"/>
    </row>
    <row r="61" spans="1:18" ht="18.600000000000001" hidden="1" outlineLevel="1">
      <c r="A61" s="102"/>
      <c r="B61" s="102"/>
      <c r="C61" s="562" t="s">
        <v>1451</v>
      </c>
      <c r="D61" s="102"/>
      <c r="E61" s="102"/>
      <c r="F61" s="102"/>
      <c r="G61" s="102"/>
      <c r="H61" s="102"/>
      <c r="I61" s="102"/>
      <c r="J61" s="102"/>
      <c r="K61" s="102"/>
      <c r="L61" s="102"/>
      <c r="M61" s="102"/>
      <c r="N61" s="102"/>
      <c r="O61" s="102"/>
      <c r="P61" s="102"/>
      <c r="Q61" s="102"/>
      <c r="R61" s="102"/>
    </row>
    <row r="62" spans="1:18" ht="18.600000000000001" hidden="1" outlineLevel="1">
      <c r="A62" s="102"/>
      <c r="B62" s="102"/>
      <c r="C62" s="102"/>
      <c r="D62" s="102"/>
      <c r="E62" s="102"/>
      <c r="F62" s="102"/>
      <c r="G62" s="102"/>
      <c r="H62" s="102"/>
      <c r="I62" s="102"/>
      <c r="J62" s="102"/>
      <c r="K62" s="102"/>
      <c r="L62" s="102"/>
      <c r="M62" s="102"/>
      <c r="N62" s="102"/>
      <c r="O62" s="102"/>
      <c r="P62" s="102"/>
      <c r="Q62" s="102"/>
      <c r="R62" s="102"/>
    </row>
    <row r="63" spans="1:18" ht="18.600000000000001" hidden="1" outlineLevel="1">
      <c r="A63" s="102"/>
      <c r="B63" s="102"/>
      <c r="C63" s="131"/>
      <c r="D63" s="131"/>
      <c r="E63" s="131"/>
      <c r="F63" s="131"/>
      <c r="G63" s="131"/>
      <c r="H63" s="131"/>
      <c r="I63" s="131"/>
      <c r="J63" s="131"/>
      <c r="K63" s="131"/>
      <c r="L63" s="131"/>
      <c r="M63" s="131"/>
      <c r="N63" s="131"/>
      <c r="O63" s="131"/>
      <c r="P63" s="131"/>
      <c r="Q63" s="131"/>
      <c r="R63" s="102"/>
    </row>
    <row r="64" spans="1:18" ht="29.1" hidden="1" outlineLevel="1">
      <c r="A64" s="4"/>
      <c r="B64" s="4"/>
      <c r="C64" s="7"/>
      <c r="D64" s="18" t="s">
        <v>1450</v>
      </c>
      <c r="E64" s="18" t="s">
        <v>1116</v>
      </c>
      <c r="F64" s="18" t="s">
        <v>207</v>
      </c>
      <c r="G64" s="18" t="s">
        <v>1347</v>
      </c>
      <c r="H64" s="18" t="s">
        <v>1348</v>
      </c>
      <c r="I64" s="18" t="s">
        <v>1349</v>
      </c>
      <c r="J64" s="18" t="s">
        <v>1350</v>
      </c>
      <c r="K64" s="18" t="s">
        <v>1351</v>
      </c>
      <c r="L64" s="18" t="s">
        <v>1352</v>
      </c>
      <c r="M64" s="18" t="s">
        <v>1353</v>
      </c>
      <c r="N64" s="18" t="s">
        <v>1354</v>
      </c>
      <c r="O64" s="18" t="s">
        <v>1362</v>
      </c>
      <c r="P64" s="18" t="s">
        <v>1363</v>
      </c>
      <c r="Q64" s="54"/>
      <c r="R64" s="4"/>
    </row>
    <row r="65" spans="1:18" ht="16.5" hidden="1" outlineLevel="1">
      <c r="A65" s="4"/>
      <c r="B65" s="4"/>
      <c r="C65" s="7"/>
      <c r="D65" s="16" t="s">
        <v>1364</v>
      </c>
      <c r="E65" s="16" t="s">
        <v>1365</v>
      </c>
      <c r="F65" s="330">
        <v>0.99990000000000001</v>
      </c>
      <c r="G65" s="331">
        <f ca="1">(E27) - Table47258588[[#This Row],[SLA]]*(E27)</f>
        <v>3.6499999999989541E-2</v>
      </c>
      <c r="H65" s="331">
        <f ca="1">(24*E27) - Table47258588[[#This Row],[SLA]]*(24*E27)</f>
        <v>0.87600000000020373</v>
      </c>
      <c r="I65" s="331">
        <f ca="1">Table47258588[[#This Row],[Downtime/Year (Hours)]]*60</f>
        <v>52.560000000012224</v>
      </c>
      <c r="J65" s="331">
        <f ca="1">Table47258588[[#This Row],[Downtime/Month (Hours)]]/24</f>
        <v>3.0416666666673742E-3</v>
      </c>
      <c r="K65" s="331">
        <f ca="1">Table47258588[[#This Row],[Downtime/Year (Hours)]]/12</f>
        <v>7.3000000000016982E-2</v>
      </c>
      <c r="L65" s="331">
        <f ca="1">Table47258588[[#This Row],[Downtime/Month (Hours)]]*60</f>
        <v>4.3800000000010186</v>
      </c>
      <c r="M65" s="330">
        <v>0.5</v>
      </c>
      <c r="N65" s="330">
        <v>1</v>
      </c>
      <c r="O65" s="332">
        <v>0</v>
      </c>
      <c r="P65" s="332">
        <v>1</v>
      </c>
      <c r="Q65" s="129"/>
      <c r="R65" s="4"/>
    </row>
    <row r="66" spans="1:18" hidden="1" outlineLevel="1">
      <c r="A66" s="4"/>
      <c r="B66" s="4"/>
      <c r="C66" s="7"/>
      <c r="D66" s="16" t="s">
        <v>977</v>
      </c>
      <c r="E66" s="16" t="s">
        <v>1365</v>
      </c>
      <c r="F66" s="330">
        <v>1</v>
      </c>
      <c r="G66" s="331">
        <f ca="1">(E27) - Table47258588[[#This Row],[SLA]]*(E27)</f>
        <v>0</v>
      </c>
      <c r="H66" s="331">
        <f ca="1">(24*E27) - Table47258588[[#This Row],[SLA]]*(24*E27)</f>
        <v>0</v>
      </c>
      <c r="I66" s="331">
        <f ca="1">Table47258588[[#This Row],[Downtime/Year (Hours)]]*60</f>
        <v>0</v>
      </c>
      <c r="J66" s="331">
        <f ca="1">Table47258588[[#This Row],[Downtime/Month (Hours)]]/24</f>
        <v>0</v>
      </c>
      <c r="K66" s="331">
        <f ca="1">Table47258588[[#This Row],[Downtime/Year (Hours)]]/12</f>
        <v>0</v>
      </c>
      <c r="L66" s="331">
        <f ca="1">Table47258588[[#This Row],[Downtime/Month (Hours)]]*60</f>
        <v>0</v>
      </c>
      <c r="M66" s="330">
        <v>0.5</v>
      </c>
      <c r="N66" s="330">
        <v>1</v>
      </c>
      <c r="O66" s="332">
        <v>0</v>
      </c>
      <c r="P66" s="332">
        <v>1</v>
      </c>
      <c r="Q66" s="129"/>
      <c r="R66" s="4"/>
    </row>
    <row r="67" spans="1:18" hidden="1" outlineLevel="1">
      <c r="A67" s="4"/>
      <c r="B67" s="4"/>
      <c r="C67" s="7"/>
      <c r="D67" s="333" t="s">
        <v>978</v>
      </c>
      <c r="E67" s="16" t="s">
        <v>1365</v>
      </c>
      <c r="F67" s="330">
        <v>0.99990000000000001</v>
      </c>
      <c r="G67" s="331">
        <f ca="1">(E27) - Table47258588[[#This Row],[SLA]]*(E27)</f>
        <v>3.6499999999989541E-2</v>
      </c>
      <c r="H67" s="331">
        <f ca="1">(24*E27) - Table47258588[[#This Row],[SLA]]*(24*E27)</f>
        <v>0.87600000000020373</v>
      </c>
      <c r="I67" s="331">
        <f ca="1">Table47258588[[#This Row],[Downtime/Year (Hours)]]*60</f>
        <v>52.560000000012224</v>
      </c>
      <c r="J67" s="331">
        <f ca="1">Table47258588[[#This Row],[Downtime/Month (Hours)]]/24</f>
        <v>3.0416666666673742E-3</v>
      </c>
      <c r="K67" s="331">
        <f ca="1">Table47258588[[#This Row],[Downtime/Year (Hours)]]/12</f>
        <v>7.3000000000016982E-2</v>
      </c>
      <c r="L67" s="331">
        <f ca="1">Table47258588[[#This Row],[Downtime/Month (Hours)]]*60</f>
        <v>4.3800000000010186</v>
      </c>
      <c r="M67" s="330">
        <v>1</v>
      </c>
      <c r="N67" s="330">
        <v>1</v>
      </c>
      <c r="O67" s="332">
        <v>0</v>
      </c>
      <c r="P67" s="332">
        <v>1</v>
      </c>
      <c r="Q67" s="132"/>
      <c r="R67" s="4"/>
    </row>
    <row r="68" spans="1:18" hidden="1" outlineLevel="1">
      <c r="A68" s="4"/>
      <c r="B68" s="4"/>
      <c r="C68" s="7"/>
      <c r="D68" s="16" t="s">
        <v>975</v>
      </c>
      <c r="E68" s="16" t="s">
        <v>1365</v>
      </c>
      <c r="F68" s="330">
        <v>0.99950000000000006</v>
      </c>
      <c r="G68" s="331">
        <f ca="1">(E27) - Table47258588[[#This Row],[SLA]]*(E27)</f>
        <v>0.18250000000000455</v>
      </c>
      <c r="H68" s="331">
        <f ca="1">(24*E27) - Table47258588[[#This Row],[SLA]]*(24*E27)</f>
        <v>4.3799999999991996</v>
      </c>
      <c r="I68" s="331">
        <f ca="1">Table47258588[[#This Row],[Downtime/Year (Hours)]]*60</f>
        <v>262.79999999995198</v>
      </c>
      <c r="J68" s="331">
        <f ca="1">Table47258588[[#This Row],[Downtime/Month (Hours)]]/24</f>
        <v>1.5208333333330555E-2</v>
      </c>
      <c r="K68" s="331">
        <f ca="1">Table47258588[[#This Row],[Downtime/Year (Hours)]]/12</f>
        <v>0.36499999999993332</v>
      </c>
      <c r="L68" s="331">
        <f ca="1">Table47258588[[#This Row],[Downtime/Month (Hours)]]*60</f>
        <v>21.899999999995998</v>
      </c>
      <c r="M68" s="330">
        <v>0.5</v>
      </c>
      <c r="N68" s="330">
        <v>1</v>
      </c>
      <c r="O68" s="332">
        <v>0</v>
      </c>
      <c r="P68" s="332">
        <v>1</v>
      </c>
      <c r="Q68" s="132"/>
      <c r="R68" s="4"/>
    </row>
    <row r="69" spans="1:18" hidden="1" outlineLevel="1">
      <c r="A69" s="4"/>
      <c r="B69" s="4"/>
      <c r="C69" s="7"/>
      <c r="D69" s="313" t="s">
        <v>981</v>
      </c>
      <c r="E69" s="16" t="s">
        <v>1365</v>
      </c>
      <c r="F69" s="330">
        <v>0.999</v>
      </c>
      <c r="G69" s="331">
        <f ca="1">(E27) - Table47258588[[#This Row],[SLA]]*(E27)</f>
        <v>0.36500000000000909</v>
      </c>
      <c r="H69" s="331">
        <f ca="1">(24*E27) - Table47258588[[#This Row],[SLA]]*(24*E27)</f>
        <v>8.7600000000002183</v>
      </c>
      <c r="I69" s="331">
        <f ca="1">Table47258588[[#This Row],[Downtime/Year (Hours)]]*60</f>
        <v>525.6000000000131</v>
      </c>
      <c r="J69" s="331">
        <f ca="1">Table47258588[[#This Row],[Downtime/Month (Hours)]]/24</f>
        <v>3.0416666666667425E-2</v>
      </c>
      <c r="K69" s="331">
        <f ca="1">Table47258588[[#This Row],[Downtime/Year (Hours)]]/12</f>
        <v>0.73000000000001819</v>
      </c>
      <c r="L69" s="331">
        <f ca="1">Table47258588[[#This Row],[Downtime/Month (Hours)]]*60</f>
        <v>43.800000000001091</v>
      </c>
      <c r="M69" s="330">
        <v>0.5</v>
      </c>
      <c r="N69" s="330">
        <v>1</v>
      </c>
      <c r="O69" s="332">
        <v>0</v>
      </c>
      <c r="P69" s="332">
        <v>1</v>
      </c>
      <c r="Q69" s="132"/>
      <c r="R69" s="4"/>
    </row>
    <row r="70" spans="1:18" hidden="1" outlineLevel="1">
      <c r="A70" s="4"/>
      <c r="B70" s="4"/>
      <c r="C70" s="7"/>
      <c r="D70" s="16" t="s">
        <v>979</v>
      </c>
      <c r="E70" s="16" t="s">
        <v>1365</v>
      </c>
      <c r="F70" s="330">
        <v>0.99950000000000006</v>
      </c>
      <c r="G70" s="331">
        <f ca="1">(E27) - Table47258588[[#This Row],[SLA]]*(E27)</f>
        <v>0.18250000000000455</v>
      </c>
      <c r="H70" s="331">
        <f ca="1">(24*E27) - Table47258588[[#This Row],[SLA]]*(24*E27)</f>
        <v>4.3799999999991996</v>
      </c>
      <c r="I70" s="331">
        <f ca="1">Table47258588[[#This Row],[Downtime/Year (Hours)]]*60</f>
        <v>262.79999999995198</v>
      </c>
      <c r="J70" s="331">
        <f ca="1">Table47258588[[#This Row],[Downtime/Month (Hours)]]/24</f>
        <v>1.5208333333330555E-2</v>
      </c>
      <c r="K70" s="331">
        <f ca="1">Table47258588[[#This Row],[Downtime/Year (Hours)]]/12</f>
        <v>0.36499999999993332</v>
      </c>
      <c r="L70" s="331">
        <f ca="1">Table47258588[[#This Row],[Downtime/Month (Hours)]]*60</f>
        <v>21.899999999995998</v>
      </c>
      <c r="M70" s="330">
        <v>0.75</v>
      </c>
      <c r="N70" s="330">
        <v>1</v>
      </c>
      <c r="O70" s="332">
        <v>0</v>
      </c>
      <c r="P70" s="332">
        <v>1</v>
      </c>
      <c r="Q70" s="132"/>
      <c r="R70" s="4"/>
    </row>
    <row r="71" spans="1:18" hidden="1" outlineLevel="1">
      <c r="A71" s="4"/>
      <c r="B71" s="4"/>
      <c r="C71" s="7"/>
      <c r="D71" s="16" t="s">
        <v>980</v>
      </c>
      <c r="E71" s="16" t="s">
        <v>1365</v>
      </c>
      <c r="F71" s="330">
        <v>0.99999000000000005</v>
      </c>
      <c r="G71" s="331">
        <f ca="1">(E27) - Table47258588[[#This Row],[SLA]]*(E27)</f>
        <v>3.6499999999932697E-3</v>
      </c>
      <c r="H71" s="331">
        <f ca="1">(24*E27) - Table47258588[[#This Row],[SLA]]*(24*E27)</f>
        <v>8.7599999998928979E-2</v>
      </c>
      <c r="I71" s="331">
        <f ca="1">Table47258588[[#This Row],[Downtime/Year (Hours)]]*60</f>
        <v>5.2559999999357387</v>
      </c>
      <c r="J71" s="331">
        <f ca="1">Table47258588[[#This Row],[Downtime/Month (Hours)]]/24</f>
        <v>3.0416666666294786E-4</v>
      </c>
      <c r="K71" s="331">
        <f ca="1">Table47258588[[#This Row],[Downtime/Year (Hours)]]/12</f>
        <v>7.2999999999107485E-3</v>
      </c>
      <c r="L71" s="331">
        <f ca="1">Table47258588[[#This Row],[Downtime/Month (Hours)]]*60</f>
        <v>0.4379999999946449</v>
      </c>
      <c r="M71" s="330">
        <v>0.66</v>
      </c>
      <c r="N71" s="330">
        <v>1</v>
      </c>
      <c r="O71" s="332">
        <v>1</v>
      </c>
      <c r="P71" s="332">
        <v>8</v>
      </c>
      <c r="Q71" s="129"/>
      <c r="R71" s="4"/>
    </row>
    <row r="72" spans="1:18" hidden="1" outlineLevel="1">
      <c r="A72" s="4"/>
      <c r="B72" s="4"/>
      <c r="C72" s="7"/>
      <c r="D72" s="16" t="s">
        <v>982</v>
      </c>
      <c r="E72" s="16" t="s">
        <v>1365</v>
      </c>
      <c r="F72" s="330">
        <v>1</v>
      </c>
      <c r="G72" s="331">
        <f ca="1">(E27) - Table47258588[[#This Row],[SLA]]*(E27)</f>
        <v>0</v>
      </c>
      <c r="H72" s="331">
        <f ca="1">(24*E27) - Table47258588[[#This Row],[SLA]]*(24*E27)</f>
        <v>0</v>
      </c>
      <c r="I72" s="331">
        <f ca="1">Table47258588[[#This Row],[Downtime/Year (Hours)]]*60</f>
        <v>0</v>
      </c>
      <c r="J72" s="331">
        <f ca="1">Table47258588[[#This Row],[Downtime/Month (Hours)]]/24</f>
        <v>0</v>
      </c>
      <c r="K72" s="331">
        <f ca="1">Table47258588[[#This Row],[Downtime/Year (Hours)]]/12</f>
        <v>0</v>
      </c>
      <c r="L72" s="331">
        <f ca="1">Table47258588[[#This Row],[Downtime/Month (Hours)]]*60</f>
        <v>0</v>
      </c>
      <c r="M72" s="330">
        <v>0.75</v>
      </c>
      <c r="N72" s="330">
        <v>1</v>
      </c>
      <c r="O72" s="332">
        <v>1</v>
      </c>
      <c r="P72" s="332">
        <v>8</v>
      </c>
      <c r="Q72" s="129"/>
      <c r="R72" s="4"/>
    </row>
    <row r="73" spans="1:18" hidden="1" outlineLevel="1">
      <c r="A73" s="4"/>
      <c r="B73" s="4"/>
      <c r="C73" s="7"/>
      <c r="D73" s="16" t="s">
        <v>983</v>
      </c>
      <c r="E73" s="16" t="s">
        <v>1365</v>
      </c>
      <c r="F73" s="330">
        <v>0.99999000000000005</v>
      </c>
      <c r="G73" s="331">
        <f ca="1">(E27) - Table47258588[[#This Row],[SLA]]*(E27)</f>
        <v>3.6499999999932697E-3</v>
      </c>
      <c r="H73" s="331">
        <f ca="1">(24*E27) - Table47258588[[#This Row],[SLA]]*(24*E27)</f>
        <v>8.7599999998928979E-2</v>
      </c>
      <c r="I73" s="331">
        <f ca="1">Table47258588[[#This Row],[Downtime/Year (Hours)]]*60</f>
        <v>5.2559999999357387</v>
      </c>
      <c r="J73" s="331">
        <f ca="1">Table47258588[[#This Row],[Downtime/Month (Hours)]]/24</f>
        <v>3.0416666666294786E-4</v>
      </c>
      <c r="K73" s="331">
        <f ca="1">Table47258588[[#This Row],[Downtime/Year (Hours)]]/12</f>
        <v>7.2999999999107485E-3</v>
      </c>
      <c r="L73" s="331">
        <f ca="1">Table47258588[[#This Row],[Downtime/Month (Hours)]]*60</f>
        <v>0.4379999999946449</v>
      </c>
      <c r="M73" s="330">
        <v>0.66</v>
      </c>
      <c r="N73" s="330">
        <v>1</v>
      </c>
      <c r="O73" s="332">
        <v>1</v>
      </c>
      <c r="P73" s="332">
        <v>8</v>
      </c>
      <c r="Q73" s="129"/>
      <c r="R73" s="4"/>
    </row>
    <row r="74" spans="1:18" ht="16.5" hidden="1" outlineLevel="1">
      <c r="A74" s="4"/>
      <c r="B74" s="4"/>
      <c r="C74" s="7"/>
      <c r="D74" s="18" t="s">
        <v>1366</v>
      </c>
      <c r="E74" s="18" t="s">
        <v>1367</v>
      </c>
      <c r="F74" s="330">
        <v>0.98</v>
      </c>
      <c r="G74" s="331">
        <f ca="1">(E27) - Table47258588[[#This Row],[SLA]]*(E27)</f>
        <v>7.3000000000000114</v>
      </c>
      <c r="H74" s="331">
        <f ca="1">(24*E27) - Table47258588[[#This Row],[SLA]]*(24*E27)</f>
        <v>175.20000000000073</v>
      </c>
      <c r="I74" s="331">
        <f ca="1">Table47258588[[#This Row],[Downtime/Year (Hours)]]*60</f>
        <v>10512.000000000044</v>
      </c>
      <c r="J74" s="331">
        <f ca="1">Table47258588[[#This Row],[Downtime/Month (Hours)]]/24</f>
        <v>0.60833333333333584</v>
      </c>
      <c r="K74" s="331">
        <f ca="1">Table47258588[[#This Row],[Downtime/Year (Hours)]]/12</f>
        <v>14.60000000000006</v>
      </c>
      <c r="L74" s="331">
        <f ca="1">Table47258588[[#This Row],[Downtime/Month (Hours)]]*60</f>
        <v>876.00000000000364</v>
      </c>
      <c r="M74" s="330">
        <v>0.66</v>
      </c>
      <c r="N74" s="330">
        <v>1</v>
      </c>
      <c r="O74" s="332">
        <v>1</v>
      </c>
      <c r="P74" s="332">
        <v>8</v>
      </c>
      <c r="Q74" s="132"/>
      <c r="R74" s="4"/>
    </row>
    <row r="75" spans="1:18" ht="16.5" hidden="1" outlineLevel="1">
      <c r="A75" s="4"/>
      <c r="B75" s="4"/>
      <c r="C75" s="7"/>
      <c r="D75" s="18" t="s">
        <v>1368</v>
      </c>
      <c r="E75" s="18" t="s">
        <v>1367</v>
      </c>
      <c r="F75" s="330">
        <v>0.99</v>
      </c>
      <c r="G75" s="331">
        <f ca="1">(E27) - Table47258588[[#This Row],[SLA]]*(E27)</f>
        <v>3.6499999999999773</v>
      </c>
      <c r="H75" s="331">
        <f ca="1">(24*E27) - Table47258588[[#This Row],[SLA]]*(24*E27)</f>
        <v>87.600000000000364</v>
      </c>
      <c r="I75" s="331">
        <f ca="1">Table47258588[[#This Row],[Downtime/Year (Hours)]]*60</f>
        <v>5256.0000000000218</v>
      </c>
      <c r="J75" s="331">
        <f ca="1">Table47258588[[#This Row],[Downtime/Month (Hours)]]/24</f>
        <v>0.30416666666666792</v>
      </c>
      <c r="K75" s="331">
        <f ca="1">Table47258588[[#This Row],[Downtime/Year (Hours)]]/12</f>
        <v>7.30000000000003</v>
      </c>
      <c r="L75" s="331">
        <f ca="1">Table47258588[[#This Row],[Downtime/Month (Hours)]]*60</f>
        <v>438.00000000000182</v>
      </c>
      <c r="M75" s="330">
        <v>0.66</v>
      </c>
      <c r="N75" s="330">
        <v>1</v>
      </c>
      <c r="O75" s="332">
        <v>1</v>
      </c>
      <c r="P75" s="332">
        <v>8</v>
      </c>
      <c r="Q75" s="132"/>
      <c r="R75" s="4"/>
    </row>
    <row r="76" spans="1:18" hidden="1" outlineLevel="1">
      <c r="A76" s="4"/>
      <c r="B76" s="4"/>
      <c r="C76" s="7"/>
      <c r="D76" s="16" t="s">
        <v>1369</v>
      </c>
      <c r="E76" s="16"/>
      <c r="F76" s="330">
        <f>F65*F66*F67*F68*F69*F70*F71*F72*F73*F74*F75</f>
        <v>0.96804780878096308</v>
      </c>
      <c r="G76" s="331">
        <f ca="1">(E27) - Table47258588[[#This Row],[SLA]]*(E27)</f>
        <v>11.662549794948461</v>
      </c>
      <c r="H76" s="331">
        <f ca="1">(24*E27) - Table47258588[[#This Row],[SLA]]*(24*E27)</f>
        <v>279.90119507876261</v>
      </c>
      <c r="I76" s="331">
        <f ca="1">Table47258588[[#This Row],[Downtime/Year (Hours)]]*60</f>
        <v>16794.071704725757</v>
      </c>
      <c r="J76" s="331">
        <f ca="1">Table47258588[[#This Row],[Downtime/Month (Hours)]]/24</f>
        <v>0.97187914957903676</v>
      </c>
      <c r="K76" s="331">
        <f ca="1">Table47258588[[#This Row],[Downtime/Year (Hours)]]/12</f>
        <v>23.325099589896883</v>
      </c>
      <c r="L76" s="331">
        <f ca="1">Table47258588[[#This Row],[Downtime/Month (Hours)]]*60</f>
        <v>1399.5059753938131</v>
      </c>
      <c r="M76" s="330">
        <f>M65*M66*M67*M68*M69*M70*M71*M72*M73*M74*M75</f>
        <v>6.6708056250000007E-3</v>
      </c>
      <c r="N76" s="330">
        <f t="shared" ref="N76" si="4">N65*N66*N67*N68*N69*N70*N71*N72*N73*N74*N75</f>
        <v>1</v>
      </c>
      <c r="O76" s="332">
        <f>MAX(O65:O75)</f>
        <v>1</v>
      </c>
      <c r="P76" s="332">
        <f>MAX(P65:P75)</f>
        <v>8</v>
      </c>
      <c r="Q76" s="130"/>
      <c r="R76" s="4"/>
    </row>
    <row r="77" spans="1:18" hidden="1" outlineLevel="1">
      <c r="A77" s="4"/>
      <c r="B77" s="4"/>
      <c r="C77" s="7"/>
      <c r="D77" s="7"/>
      <c r="E77" s="7"/>
      <c r="F77" s="7"/>
      <c r="G77" s="7"/>
      <c r="H77" s="7"/>
      <c r="I77" s="7"/>
      <c r="J77" s="7"/>
      <c r="K77" s="7"/>
      <c r="L77" s="7"/>
      <c r="M77" s="7"/>
      <c r="N77" s="7"/>
      <c r="O77" s="7"/>
      <c r="P77" s="7"/>
      <c r="Q77" s="7"/>
      <c r="R77" s="4"/>
    </row>
    <row r="78" spans="1:18" collapsed="1">
      <c r="A78" s="4"/>
      <c r="B78" s="4"/>
      <c r="C78" s="4"/>
      <c r="D78" s="4"/>
      <c r="E78" s="4"/>
      <c r="F78" s="4"/>
      <c r="G78" s="4"/>
      <c r="H78" s="4"/>
      <c r="I78" s="4"/>
      <c r="J78" s="4"/>
      <c r="K78" s="4"/>
      <c r="L78" s="4"/>
      <c r="M78" s="4"/>
      <c r="N78" s="4"/>
      <c r="O78" s="4"/>
      <c r="P78" s="4"/>
      <c r="Q78" s="4"/>
      <c r="R78" s="4"/>
    </row>
    <row r="79" spans="1:18" ht="18.600000000000001">
      <c r="A79" s="4"/>
      <c r="B79" s="4"/>
      <c r="C79" s="102" t="s">
        <v>1370</v>
      </c>
      <c r="D79" s="102"/>
      <c r="E79" s="102"/>
      <c r="F79" s="102"/>
      <c r="G79" s="102"/>
      <c r="H79" s="102"/>
      <c r="I79" s="102"/>
      <c r="J79" s="102"/>
      <c r="K79" s="102"/>
      <c r="L79" s="102"/>
      <c r="M79" s="102"/>
      <c r="N79" s="102"/>
      <c r="O79" s="102"/>
      <c r="P79" s="102"/>
      <c r="Q79" s="102"/>
      <c r="R79" s="4"/>
    </row>
    <row r="80" spans="1:18" hidden="1" outlineLevel="1">
      <c r="A80" s="4"/>
      <c r="B80" s="4"/>
      <c r="C80" s="4"/>
      <c r="D80" s="4"/>
      <c r="E80" s="4"/>
      <c r="F80" s="4"/>
      <c r="G80" s="4"/>
      <c r="H80" s="4"/>
      <c r="I80" s="4"/>
      <c r="J80" s="4"/>
      <c r="K80" s="4"/>
      <c r="L80" s="4"/>
      <c r="M80" s="4"/>
      <c r="N80" s="4"/>
      <c r="O80" s="4"/>
      <c r="P80" s="4"/>
      <c r="Q80" s="4"/>
      <c r="R80" s="4"/>
    </row>
    <row r="81" spans="1:18" hidden="1" outlineLevel="1">
      <c r="A81" s="4"/>
      <c r="B81" s="4"/>
      <c r="C81" s="7"/>
      <c r="D81" s="7"/>
      <c r="E81" s="7"/>
      <c r="F81" s="7"/>
      <c r="G81" s="7"/>
      <c r="H81" s="7"/>
      <c r="I81" s="7"/>
      <c r="J81" s="7"/>
      <c r="K81" s="7"/>
      <c r="L81" s="7"/>
      <c r="M81" s="7"/>
      <c r="N81" s="7"/>
      <c r="O81" s="7"/>
      <c r="P81" s="7"/>
      <c r="Q81" s="7"/>
      <c r="R81" s="4"/>
    </row>
    <row r="82" spans="1:18" ht="29.1" hidden="1" outlineLevel="1">
      <c r="A82" s="4"/>
      <c r="B82" s="4"/>
      <c r="C82" s="7"/>
      <c r="D82" s="686" t="s">
        <v>1438</v>
      </c>
      <c r="E82" s="334" t="s">
        <v>1345</v>
      </c>
      <c r="F82" s="266" t="s">
        <v>1439</v>
      </c>
      <c r="G82" s="266" t="s">
        <v>1347</v>
      </c>
      <c r="H82" s="266" t="s">
        <v>1348</v>
      </c>
      <c r="I82" s="266" t="s">
        <v>1349</v>
      </c>
      <c r="J82" s="266" t="s">
        <v>1350</v>
      </c>
      <c r="K82" s="266" t="s">
        <v>1351</v>
      </c>
      <c r="L82" s="266" t="s">
        <v>1352</v>
      </c>
      <c r="M82" s="266" t="s">
        <v>1440</v>
      </c>
      <c r="N82" s="266" t="s">
        <v>1441</v>
      </c>
      <c r="O82" s="7"/>
      <c r="P82" s="7"/>
      <c r="Q82" s="7"/>
      <c r="R82" s="4"/>
    </row>
    <row r="83" spans="1:18" hidden="1" outlineLevel="1">
      <c r="A83" s="4"/>
      <c r="B83" s="4"/>
      <c r="C83" s="7"/>
      <c r="D83" s="687"/>
      <c r="E83" s="335" t="s">
        <v>1442</v>
      </c>
      <c r="F83" s="334">
        <f t="shared" ref="F83:N83" si="5">F102</f>
        <v>0.98930710889505002</v>
      </c>
      <c r="G83" s="336">
        <f t="shared" si="5"/>
        <v>0</v>
      </c>
      <c r="H83" s="336">
        <f t="shared" si="5"/>
        <v>0</v>
      </c>
      <c r="I83" s="336">
        <f t="shared" si="5"/>
        <v>0</v>
      </c>
      <c r="J83" s="336">
        <f t="shared" si="5"/>
        <v>0</v>
      </c>
      <c r="K83" s="336">
        <f t="shared" si="5"/>
        <v>0</v>
      </c>
      <c r="L83" s="336">
        <f t="shared" si="5"/>
        <v>0</v>
      </c>
      <c r="M83" s="334">
        <f t="shared" si="5"/>
        <v>6.1874999999999999E-2</v>
      </c>
      <c r="N83" s="334">
        <f t="shared" si="5"/>
        <v>1</v>
      </c>
      <c r="O83" s="7"/>
      <c r="P83" s="7"/>
      <c r="Q83" s="7"/>
      <c r="R83" s="4"/>
    </row>
    <row r="84" spans="1:18" hidden="1" outlineLevel="1">
      <c r="A84" s="4"/>
      <c r="B84" s="4"/>
      <c r="C84" s="7"/>
      <c r="D84" s="687"/>
      <c r="E84" s="337" t="s">
        <v>1443</v>
      </c>
      <c r="F84" s="338">
        <f t="shared" ref="F84:N84" si="6">F115</f>
        <v>0.98930710889505002</v>
      </c>
      <c r="G84" s="336">
        <f t="shared" si="6"/>
        <v>0</v>
      </c>
      <c r="H84" s="336">
        <f t="shared" si="6"/>
        <v>0</v>
      </c>
      <c r="I84" s="336">
        <f t="shared" si="6"/>
        <v>0</v>
      </c>
      <c r="J84" s="336">
        <f t="shared" si="6"/>
        <v>0</v>
      </c>
      <c r="K84" s="336">
        <f t="shared" si="6"/>
        <v>0</v>
      </c>
      <c r="L84" s="336">
        <f t="shared" si="6"/>
        <v>0</v>
      </c>
      <c r="M84" s="334">
        <f t="shared" si="6"/>
        <v>6.1874999999999999E-2</v>
      </c>
      <c r="N84" s="334">
        <f t="shared" si="6"/>
        <v>1</v>
      </c>
      <c r="O84" s="7"/>
      <c r="P84" s="7"/>
      <c r="Q84" s="7"/>
      <c r="R84" s="4"/>
    </row>
    <row r="85" spans="1:18" hidden="1" outlineLevel="1">
      <c r="A85" s="4"/>
      <c r="B85" s="4"/>
      <c r="C85" s="7"/>
      <c r="D85" s="688"/>
      <c r="E85" s="337" t="s">
        <v>1444</v>
      </c>
      <c r="F85" s="338">
        <f>F84-F83</f>
        <v>0</v>
      </c>
      <c r="G85" s="336">
        <f>G84-G83</f>
        <v>0</v>
      </c>
      <c r="H85" s="336">
        <f>H84-H83</f>
        <v>0</v>
      </c>
      <c r="I85" s="336">
        <f t="shared" ref="I85:N85" si="7">I84-I83</f>
        <v>0</v>
      </c>
      <c r="J85" s="336">
        <f t="shared" si="7"/>
        <v>0</v>
      </c>
      <c r="K85" s="336">
        <f t="shared" si="7"/>
        <v>0</v>
      </c>
      <c r="L85" s="336">
        <f t="shared" si="7"/>
        <v>0</v>
      </c>
      <c r="M85" s="334">
        <f t="shared" si="7"/>
        <v>0</v>
      </c>
      <c r="N85" s="334">
        <f t="shared" si="7"/>
        <v>0</v>
      </c>
      <c r="O85" s="7"/>
      <c r="P85" s="7"/>
      <c r="Q85" s="7"/>
      <c r="R85" s="4"/>
    </row>
    <row r="86" spans="1:18" hidden="1" outlineLevel="1">
      <c r="A86" s="4"/>
      <c r="B86" s="4"/>
      <c r="C86" s="7"/>
      <c r="D86" s="7"/>
      <c r="E86" s="7"/>
      <c r="F86" s="7"/>
      <c r="G86" s="7"/>
      <c r="H86" s="7"/>
      <c r="I86" s="7"/>
      <c r="J86" s="7"/>
      <c r="K86" s="7"/>
      <c r="L86" s="7"/>
      <c r="M86" s="7"/>
      <c r="N86" s="7"/>
      <c r="O86" s="7"/>
      <c r="P86" s="7"/>
      <c r="Q86" s="7"/>
      <c r="R86" s="4"/>
    </row>
    <row r="87" spans="1:18" hidden="1" outlineLevel="1">
      <c r="A87" s="4"/>
      <c r="B87" s="4"/>
      <c r="C87" s="7"/>
      <c r="D87" s="124" t="s">
        <v>1445</v>
      </c>
      <c r="E87" s="7"/>
      <c r="F87" s="7"/>
      <c r="G87" s="7"/>
      <c r="H87" s="7"/>
      <c r="I87" s="7"/>
      <c r="J87" s="7"/>
      <c r="K87" s="7"/>
      <c r="L87" s="7"/>
      <c r="M87" s="7"/>
      <c r="N87" s="7"/>
      <c r="O87" s="7"/>
      <c r="P87" s="7"/>
      <c r="Q87" s="7"/>
      <c r="R87" s="4"/>
    </row>
    <row r="88" spans="1:18" hidden="1" outlineLevel="1">
      <c r="A88" s="4"/>
      <c r="B88" s="4"/>
      <c r="C88" s="7"/>
      <c r="D88" s="125" t="s">
        <v>1446</v>
      </c>
      <c r="E88" s="7"/>
      <c r="F88" s="7"/>
      <c r="G88" s="7"/>
      <c r="H88" s="7"/>
      <c r="I88" s="7"/>
      <c r="J88" s="7"/>
      <c r="K88" s="7"/>
      <c r="L88" s="7"/>
      <c r="M88" s="7"/>
      <c r="N88" s="7"/>
      <c r="O88" s="7"/>
      <c r="P88" s="7"/>
      <c r="Q88" s="7"/>
      <c r="R88" s="4"/>
    </row>
    <row r="89" spans="1:18" hidden="1" outlineLevel="1">
      <c r="A89" s="4"/>
      <c r="B89" s="4"/>
      <c r="C89" s="7"/>
      <c r="D89" s="127" t="s">
        <v>1447</v>
      </c>
      <c r="E89" s="7"/>
      <c r="F89" s="7"/>
      <c r="G89" s="7"/>
      <c r="H89" s="7"/>
      <c r="I89" s="7"/>
      <c r="J89" s="7"/>
      <c r="K89" s="7"/>
      <c r="L89" s="7"/>
      <c r="M89" s="7"/>
      <c r="N89" s="7"/>
      <c r="O89" s="7"/>
      <c r="P89" s="7"/>
      <c r="Q89" s="7"/>
      <c r="R89" s="4"/>
    </row>
    <row r="90" spans="1:18" hidden="1" outlineLevel="1">
      <c r="A90" s="4"/>
      <c r="B90" s="4"/>
      <c r="C90" s="7"/>
      <c r="D90" s="126" t="s">
        <v>1448</v>
      </c>
      <c r="E90" s="7"/>
      <c r="F90" s="7"/>
      <c r="G90" s="7"/>
      <c r="H90" s="7"/>
      <c r="I90" s="7"/>
      <c r="J90" s="7"/>
      <c r="K90" s="7"/>
      <c r="L90" s="7"/>
      <c r="M90" s="7"/>
      <c r="N90" s="7"/>
      <c r="O90" s="7"/>
      <c r="P90" s="7"/>
      <c r="Q90" s="7"/>
      <c r="R90" s="4"/>
    </row>
    <row r="91" spans="1:18" hidden="1" outlineLevel="1">
      <c r="A91" s="4"/>
      <c r="B91" s="4"/>
      <c r="C91" s="7"/>
      <c r="D91" s="235"/>
      <c r="E91" s="7"/>
      <c r="F91" s="7"/>
      <c r="G91" s="7"/>
      <c r="H91" s="7"/>
      <c r="I91" s="7"/>
      <c r="J91" s="7"/>
      <c r="K91" s="7"/>
      <c r="L91" s="7"/>
      <c r="M91" s="7"/>
      <c r="N91" s="7"/>
      <c r="O91" s="7"/>
      <c r="P91" s="7"/>
      <c r="Q91" s="7"/>
      <c r="R91" s="4"/>
    </row>
    <row r="92" spans="1:18" hidden="1" outlineLevel="1">
      <c r="A92" s="4"/>
      <c r="B92" s="4"/>
      <c r="C92" s="4"/>
      <c r="D92" s="11"/>
      <c r="E92" s="11"/>
      <c r="F92" s="4"/>
      <c r="G92" s="4"/>
      <c r="H92" s="4"/>
      <c r="I92" s="4"/>
      <c r="J92" s="4"/>
      <c r="K92" s="4"/>
      <c r="L92" s="4"/>
      <c r="M92" s="4"/>
      <c r="N92" s="4"/>
      <c r="O92" s="4"/>
      <c r="P92" s="4"/>
      <c r="Q92" s="4"/>
      <c r="R92" s="4"/>
    </row>
    <row r="93" spans="1:18" ht="18.600000000000001" hidden="1" outlineLevel="1">
      <c r="A93" s="101"/>
      <c r="B93" s="101"/>
      <c r="C93" s="562" t="s">
        <v>1452</v>
      </c>
      <c r="D93" s="102"/>
      <c r="E93" s="101"/>
      <c r="F93" s="101"/>
      <c r="G93" s="101"/>
      <c r="H93" s="101"/>
      <c r="I93" s="101"/>
      <c r="J93" s="101"/>
      <c r="K93" s="101"/>
      <c r="L93" s="101"/>
      <c r="M93" s="101"/>
      <c r="N93" s="101"/>
      <c r="O93" s="101"/>
      <c r="P93" s="101"/>
      <c r="Q93" s="101"/>
      <c r="R93" s="4"/>
    </row>
    <row r="94" spans="1:18" hidden="1" outlineLevel="1">
      <c r="A94" s="4"/>
      <c r="B94" s="4"/>
      <c r="C94" s="4"/>
      <c r="D94" s="4"/>
      <c r="E94" s="4"/>
      <c r="F94" s="4"/>
      <c r="G94" s="4"/>
      <c r="H94" s="4"/>
      <c r="I94" s="4"/>
      <c r="J94" s="4"/>
      <c r="K94" s="4"/>
      <c r="L94" s="4"/>
      <c r="M94" s="4"/>
      <c r="N94" s="4"/>
      <c r="O94" s="4"/>
      <c r="P94" s="4"/>
      <c r="Q94" s="4"/>
      <c r="R94" s="4"/>
    </row>
    <row r="95" spans="1:18" hidden="1" outlineLevel="1">
      <c r="A95" s="4"/>
      <c r="B95" s="4"/>
      <c r="C95" s="7"/>
      <c r="D95" s="7"/>
      <c r="E95" s="7"/>
      <c r="F95" s="7"/>
      <c r="G95" s="7"/>
      <c r="H95" s="7"/>
      <c r="I95" s="7"/>
      <c r="J95" s="7"/>
      <c r="K95" s="7"/>
      <c r="L95" s="7"/>
      <c r="M95" s="7"/>
      <c r="N95" s="7"/>
      <c r="O95" s="7"/>
      <c r="P95" s="7"/>
      <c r="Q95" s="7"/>
      <c r="R95" s="4"/>
    </row>
    <row r="96" spans="1:18" ht="29.1" hidden="1" outlineLevel="1">
      <c r="A96" s="4"/>
      <c r="B96" s="4"/>
      <c r="C96" s="7"/>
      <c r="D96" s="18" t="s">
        <v>1450</v>
      </c>
      <c r="E96" s="18" t="s">
        <v>1116</v>
      </c>
      <c r="F96" s="18" t="s">
        <v>207</v>
      </c>
      <c r="G96" s="18" t="s">
        <v>1347</v>
      </c>
      <c r="H96" s="18" t="s">
        <v>1348</v>
      </c>
      <c r="I96" s="18" t="s">
        <v>1349</v>
      </c>
      <c r="J96" s="18" t="s">
        <v>1350</v>
      </c>
      <c r="K96" s="18" t="s">
        <v>1351</v>
      </c>
      <c r="L96" s="18" t="s">
        <v>1352</v>
      </c>
      <c r="M96" s="18" t="s">
        <v>1353</v>
      </c>
      <c r="N96" s="18" t="s">
        <v>1354</v>
      </c>
      <c r="O96" s="18" t="s">
        <v>1362</v>
      </c>
      <c r="P96" s="18" t="s">
        <v>1363</v>
      </c>
      <c r="Q96" s="54"/>
      <c r="R96" s="4"/>
    </row>
    <row r="97" spans="1:18" ht="16.5" hidden="1" outlineLevel="1">
      <c r="A97" s="4"/>
      <c r="B97" s="4"/>
      <c r="C97" s="7"/>
      <c r="D97" s="16" t="s">
        <v>1364</v>
      </c>
      <c r="E97" s="16" t="s">
        <v>1365</v>
      </c>
      <c r="F97" s="330">
        <v>0.99990000000000001</v>
      </c>
      <c r="G97" s="331">
        <f>(E76) - Table472590111[[#This Row],[SLA]]*(E76)</f>
        <v>0</v>
      </c>
      <c r="H97" s="331">
        <f>(24*E76) - Table472590111[[#This Row],[SLA]]*(24*E76)</f>
        <v>0</v>
      </c>
      <c r="I97" s="331">
        <f>Table472590111[[#This Row],[Downtime/Year (Hours)]]*60</f>
        <v>0</v>
      </c>
      <c r="J97" s="331">
        <f>Table472590111[[#This Row],[Downtime/Month (Hours)]]/24</f>
        <v>0</v>
      </c>
      <c r="K97" s="331">
        <f>Table472590111[[#This Row],[Downtime/Year (Hours)]]/12</f>
        <v>0</v>
      </c>
      <c r="L97" s="331">
        <f>Table472590111[[#This Row],[Downtime/Month (Hours)]]*60</f>
        <v>0</v>
      </c>
      <c r="M97" s="330">
        <v>0.5</v>
      </c>
      <c r="N97" s="330">
        <v>1</v>
      </c>
      <c r="O97" s="332">
        <v>0</v>
      </c>
      <c r="P97" s="332">
        <v>1</v>
      </c>
      <c r="Q97" s="129"/>
      <c r="R97" s="4"/>
    </row>
    <row r="98" spans="1:18" hidden="1" outlineLevel="1">
      <c r="A98" s="4"/>
      <c r="B98" s="4"/>
      <c r="C98" s="7"/>
      <c r="D98" s="16" t="s">
        <v>977</v>
      </c>
      <c r="E98" s="16" t="s">
        <v>1365</v>
      </c>
      <c r="F98" s="330">
        <v>1</v>
      </c>
      <c r="G98" s="331">
        <f>(E76) - Table472590111[[#This Row],[SLA]]*(E76)</f>
        <v>0</v>
      </c>
      <c r="H98" s="331">
        <f>(24*E76) - Table472590111[[#This Row],[SLA]]*(24*E76)</f>
        <v>0</v>
      </c>
      <c r="I98" s="331">
        <f>Table472590111[[#This Row],[Downtime/Year (Hours)]]*60</f>
        <v>0</v>
      </c>
      <c r="J98" s="331">
        <f>Table472590111[[#This Row],[Downtime/Month (Hours)]]/24</f>
        <v>0</v>
      </c>
      <c r="K98" s="331">
        <f>Table472590111[[#This Row],[Downtime/Year (Hours)]]/12</f>
        <v>0</v>
      </c>
      <c r="L98" s="331">
        <f>Table472590111[[#This Row],[Downtime/Month (Hours)]]*60</f>
        <v>0</v>
      </c>
      <c r="M98" s="330">
        <v>0.5</v>
      </c>
      <c r="N98" s="330">
        <v>1</v>
      </c>
      <c r="O98" s="332">
        <v>0</v>
      </c>
      <c r="P98" s="332">
        <v>1</v>
      </c>
      <c r="Q98" s="129"/>
      <c r="R98" s="4"/>
    </row>
    <row r="99" spans="1:18" hidden="1" outlineLevel="1">
      <c r="A99" s="4"/>
      <c r="B99" s="4"/>
      <c r="C99" s="7"/>
      <c r="D99" s="16" t="s">
        <v>975</v>
      </c>
      <c r="E99" s="16" t="s">
        <v>1365</v>
      </c>
      <c r="F99" s="330">
        <v>0.99950000000000006</v>
      </c>
      <c r="G99" s="331">
        <f>(E76) - Table472590111[[#This Row],[SLA]]*(E76)</f>
        <v>0</v>
      </c>
      <c r="H99" s="331">
        <f>(24*E76) - Table472590111[[#This Row],[SLA]]*(24*E76)</f>
        <v>0</v>
      </c>
      <c r="I99" s="331">
        <f>Table472590111[[#This Row],[Downtime/Year (Hours)]]*60</f>
        <v>0</v>
      </c>
      <c r="J99" s="331">
        <f>Table472590111[[#This Row],[Downtime/Month (Hours)]]/24</f>
        <v>0</v>
      </c>
      <c r="K99" s="331">
        <f>Table472590111[[#This Row],[Downtime/Year (Hours)]]/12</f>
        <v>0</v>
      </c>
      <c r="L99" s="331">
        <f>Table472590111[[#This Row],[Downtime/Month (Hours)]]*60</f>
        <v>0</v>
      </c>
      <c r="M99" s="330">
        <v>0.5</v>
      </c>
      <c r="N99" s="330">
        <v>1</v>
      </c>
      <c r="O99" s="332">
        <v>0</v>
      </c>
      <c r="P99" s="332">
        <v>1</v>
      </c>
      <c r="Q99" s="129"/>
      <c r="R99" s="4"/>
    </row>
    <row r="100" spans="1:18" hidden="1" outlineLevel="1">
      <c r="A100" s="4"/>
      <c r="B100" s="4"/>
      <c r="C100" s="7"/>
      <c r="D100" s="16" t="s">
        <v>982</v>
      </c>
      <c r="E100" s="16" t="s">
        <v>1365</v>
      </c>
      <c r="F100" s="330">
        <v>0.99990000000000001</v>
      </c>
      <c r="G100" s="331">
        <f>(E76) - Table472590111[[#This Row],[SLA]]*(E76)</f>
        <v>0</v>
      </c>
      <c r="H100" s="331">
        <f>(24*E76) - Table472590111[[#This Row],[SLA]]*(24*E76)</f>
        <v>0</v>
      </c>
      <c r="I100" s="331">
        <f>Table472590111[[#This Row],[Downtime/Year (Hours)]]*60</f>
        <v>0</v>
      </c>
      <c r="J100" s="331">
        <f>Table472590111[[#This Row],[Downtime/Month (Hours)]]/24</f>
        <v>0</v>
      </c>
      <c r="K100" s="331">
        <f>Table472590111[[#This Row],[Downtime/Year (Hours)]]/12</f>
        <v>0</v>
      </c>
      <c r="L100" s="331">
        <f>Table472590111[[#This Row],[Downtime/Month (Hours)]]*60</f>
        <v>0</v>
      </c>
      <c r="M100" s="330">
        <v>0.75</v>
      </c>
      <c r="N100" s="330">
        <v>1</v>
      </c>
      <c r="O100" s="332">
        <v>1</v>
      </c>
      <c r="P100" s="332">
        <v>8</v>
      </c>
      <c r="Q100" s="129"/>
      <c r="R100" s="4"/>
    </row>
    <row r="101" spans="1:18" ht="16.5" hidden="1" outlineLevel="1">
      <c r="A101" s="4"/>
      <c r="B101" s="4"/>
      <c r="C101" s="7"/>
      <c r="D101" s="18" t="s">
        <v>1368</v>
      </c>
      <c r="E101" s="18" t="s">
        <v>1367</v>
      </c>
      <c r="F101" s="330">
        <v>0.99</v>
      </c>
      <c r="G101" s="331">
        <f>(E76) - Table472590111[[#This Row],[SLA]]*(E76)</f>
        <v>0</v>
      </c>
      <c r="H101" s="331">
        <f>(24*E76) - Table472590111[[#This Row],[SLA]]*(24*E76)</f>
        <v>0</v>
      </c>
      <c r="I101" s="331">
        <f>Table472590111[[#This Row],[Downtime/Year (Hours)]]*60</f>
        <v>0</v>
      </c>
      <c r="J101" s="331">
        <f>Table472590111[[#This Row],[Downtime/Month (Hours)]]/24</f>
        <v>0</v>
      </c>
      <c r="K101" s="331">
        <f>Table472590111[[#This Row],[Downtime/Year (Hours)]]/12</f>
        <v>0</v>
      </c>
      <c r="L101" s="331">
        <f>Table472590111[[#This Row],[Downtime/Month (Hours)]]*60</f>
        <v>0</v>
      </c>
      <c r="M101" s="330">
        <v>0.66</v>
      </c>
      <c r="N101" s="330">
        <v>1</v>
      </c>
      <c r="O101" s="332">
        <v>1</v>
      </c>
      <c r="P101" s="332">
        <v>8</v>
      </c>
      <c r="Q101" s="129"/>
      <c r="R101" s="4"/>
    </row>
    <row r="102" spans="1:18" hidden="1" outlineLevel="1">
      <c r="A102" s="4"/>
      <c r="B102" s="4"/>
      <c r="C102" s="7"/>
      <c r="D102" s="16" t="s">
        <v>1369</v>
      </c>
      <c r="E102" s="16"/>
      <c r="F102" s="330">
        <f>F97*F98*F99*F100*F101</f>
        <v>0.98930710889505002</v>
      </c>
      <c r="G102" s="331">
        <f>(E76) - Table472590111[[#This Row],[SLA]]*(E76)</f>
        <v>0</v>
      </c>
      <c r="H102" s="331">
        <f>(24*E76) - Table472590111[[#This Row],[SLA]]*(24*E76)</f>
        <v>0</v>
      </c>
      <c r="I102" s="331">
        <f>Table472590111[[#This Row],[Downtime/Year (Hours)]]*60</f>
        <v>0</v>
      </c>
      <c r="J102" s="331">
        <f>Table472590111[[#This Row],[Downtime/Month (Hours)]]/24</f>
        <v>0</v>
      </c>
      <c r="K102" s="331">
        <f>Table472590111[[#This Row],[Downtime/Year (Hours)]]/12</f>
        <v>0</v>
      </c>
      <c r="L102" s="331">
        <f>Table472590111[[#This Row],[Downtime/Month (Hours)]]*60</f>
        <v>0</v>
      </c>
      <c r="M102" s="330">
        <f>M97*M98*M99*M100*M101</f>
        <v>6.1874999999999999E-2</v>
      </c>
      <c r="N102" s="330">
        <f>N97*N98*N99*N100*N101</f>
        <v>1</v>
      </c>
      <c r="O102" s="332">
        <f>MAX(O97:O101)</f>
        <v>1</v>
      </c>
      <c r="P102" s="332">
        <f>MAX(P97:P101)</f>
        <v>8</v>
      </c>
      <c r="Q102" s="130"/>
      <c r="R102" s="4"/>
    </row>
    <row r="103" spans="1:18" hidden="1" outlineLevel="1">
      <c r="A103" s="4"/>
      <c r="B103" s="4"/>
      <c r="C103" s="7"/>
      <c r="D103" s="7"/>
      <c r="E103" s="7"/>
      <c r="F103" s="7"/>
      <c r="G103" s="7"/>
      <c r="H103" s="7"/>
      <c r="I103" s="7"/>
      <c r="J103" s="7"/>
      <c r="K103" s="7"/>
      <c r="L103" s="7"/>
      <c r="M103" s="7"/>
      <c r="N103" s="7"/>
      <c r="O103" s="7"/>
      <c r="P103" s="7"/>
      <c r="Q103" s="7"/>
      <c r="R103" s="4"/>
    </row>
    <row r="104" spans="1:18" hidden="1" outlineLevel="1">
      <c r="A104" s="4"/>
      <c r="B104" s="4"/>
      <c r="C104" s="4"/>
      <c r="D104" s="4"/>
      <c r="E104" s="4"/>
      <c r="F104" s="4"/>
      <c r="G104" s="4"/>
      <c r="H104" s="4"/>
      <c r="I104" s="4"/>
      <c r="J104" s="4"/>
      <c r="K104" s="4"/>
      <c r="L104" s="4"/>
      <c r="M104" s="4"/>
      <c r="N104" s="4"/>
      <c r="O104" s="4"/>
      <c r="P104" s="4"/>
      <c r="Q104" s="4"/>
      <c r="R104" s="4"/>
    </row>
    <row r="105" spans="1:18" ht="18.600000000000001" hidden="1" outlineLevel="1">
      <c r="A105" s="102"/>
      <c r="B105" s="102"/>
      <c r="C105" s="562" t="s">
        <v>1453</v>
      </c>
      <c r="D105" s="102"/>
      <c r="E105" s="102"/>
      <c r="F105" s="102"/>
      <c r="G105" s="102"/>
      <c r="H105" s="102"/>
      <c r="I105" s="102"/>
      <c r="J105" s="102"/>
      <c r="K105" s="102"/>
      <c r="L105" s="102"/>
      <c r="M105" s="102"/>
      <c r="N105" s="102"/>
      <c r="O105" s="102"/>
      <c r="P105" s="102"/>
      <c r="Q105" s="102"/>
      <c r="R105" s="4"/>
    </row>
    <row r="106" spans="1:18" ht="18.600000000000001" hidden="1" outlineLevel="1">
      <c r="A106" s="102"/>
      <c r="B106" s="102"/>
      <c r="C106" s="102"/>
      <c r="D106" s="102"/>
      <c r="E106" s="102"/>
      <c r="F106" s="102"/>
      <c r="G106" s="102"/>
      <c r="H106" s="102"/>
      <c r="I106" s="102"/>
      <c r="J106" s="102"/>
      <c r="K106" s="102"/>
      <c r="L106" s="102"/>
      <c r="M106" s="102"/>
      <c r="N106" s="102"/>
      <c r="O106" s="102"/>
      <c r="P106" s="102"/>
      <c r="Q106" s="102"/>
      <c r="R106" s="4"/>
    </row>
    <row r="107" spans="1:18" ht="18.600000000000001" hidden="1" outlineLevel="1">
      <c r="A107" s="102"/>
      <c r="B107" s="102"/>
      <c r="C107" s="131"/>
      <c r="D107" s="131"/>
      <c r="E107" s="131"/>
      <c r="F107" s="131"/>
      <c r="G107" s="131"/>
      <c r="H107" s="131"/>
      <c r="I107" s="131"/>
      <c r="J107" s="131"/>
      <c r="K107" s="131"/>
      <c r="L107" s="131"/>
      <c r="M107" s="131"/>
      <c r="N107" s="131"/>
      <c r="O107" s="131"/>
      <c r="P107" s="131"/>
      <c r="Q107" s="131"/>
      <c r="R107" s="4"/>
    </row>
    <row r="108" spans="1:18" ht="29.1" hidden="1" outlineLevel="1">
      <c r="A108" s="4"/>
      <c r="B108" s="4"/>
      <c r="C108" s="7"/>
      <c r="D108" s="18" t="s">
        <v>1450</v>
      </c>
      <c r="E108" s="18" t="s">
        <v>1116</v>
      </c>
      <c r="F108" s="18" t="s">
        <v>207</v>
      </c>
      <c r="G108" s="18" t="s">
        <v>1347</v>
      </c>
      <c r="H108" s="18" t="s">
        <v>1348</v>
      </c>
      <c r="I108" s="18" t="s">
        <v>1349</v>
      </c>
      <c r="J108" s="18" t="s">
        <v>1350</v>
      </c>
      <c r="K108" s="18" t="s">
        <v>1351</v>
      </c>
      <c r="L108" s="18" t="s">
        <v>1352</v>
      </c>
      <c r="M108" s="18" t="s">
        <v>1353</v>
      </c>
      <c r="N108" s="18" t="s">
        <v>1354</v>
      </c>
      <c r="O108" s="18" t="s">
        <v>1362</v>
      </c>
      <c r="P108" s="18" t="s">
        <v>1363</v>
      </c>
      <c r="Q108" s="54"/>
      <c r="R108" s="4"/>
    </row>
    <row r="109" spans="1:18" ht="16.5" hidden="1" outlineLevel="1">
      <c r="A109" s="4"/>
      <c r="B109" s="4"/>
      <c r="C109" s="7"/>
      <c r="D109" s="16" t="s">
        <v>1364</v>
      </c>
      <c r="E109" s="16" t="s">
        <v>1365</v>
      </c>
      <c r="F109" s="330">
        <v>0.99990000000000001</v>
      </c>
      <c r="G109" s="331">
        <f>(E76) - Table47258588109[[#This Row],[SLA]]*(E76)</f>
        <v>0</v>
      </c>
      <c r="H109" s="331">
        <f>(24*E76) - Table47258588109[[#This Row],[SLA]]*(24*E76)</f>
        <v>0</v>
      </c>
      <c r="I109" s="331">
        <f>Table47258588109[[#This Row],[Downtime/Year (Hours)]]*60</f>
        <v>0</v>
      </c>
      <c r="J109" s="331">
        <f>Table47258588109[[#This Row],[Downtime/Month (Hours)]]/24</f>
        <v>0</v>
      </c>
      <c r="K109" s="331">
        <f>Table47258588109[[#This Row],[Downtime/Year (Hours)]]/12</f>
        <v>0</v>
      </c>
      <c r="L109" s="331">
        <f>Table47258588109[[#This Row],[Downtime/Month (Hours)]]*60</f>
        <v>0</v>
      </c>
      <c r="M109" s="330">
        <v>0.5</v>
      </c>
      <c r="N109" s="330">
        <v>1</v>
      </c>
      <c r="O109" s="332">
        <v>0</v>
      </c>
      <c r="P109" s="332">
        <v>1</v>
      </c>
      <c r="Q109" s="129"/>
      <c r="R109" s="4"/>
    </row>
    <row r="110" spans="1:18" hidden="1" outlineLevel="1">
      <c r="A110" s="4"/>
      <c r="B110" s="4"/>
      <c r="C110" s="7"/>
      <c r="D110" s="16" t="s">
        <v>977</v>
      </c>
      <c r="E110" s="16" t="s">
        <v>1365</v>
      </c>
      <c r="F110" s="330">
        <v>1</v>
      </c>
      <c r="G110" s="331">
        <f>(E76) - Table47258588109[[#This Row],[SLA]]*(E76)</f>
        <v>0</v>
      </c>
      <c r="H110" s="331">
        <f>(24*E76) - Table47258588109[[#This Row],[SLA]]*(24*E76)</f>
        <v>0</v>
      </c>
      <c r="I110" s="331">
        <f>Table47258588109[[#This Row],[Downtime/Year (Hours)]]*60</f>
        <v>0</v>
      </c>
      <c r="J110" s="331">
        <f>Table47258588109[[#This Row],[Downtime/Month (Hours)]]/24</f>
        <v>0</v>
      </c>
      <c r="K110" s="331">
        <f>Table47258588109[[#This Row],[Downtime/Year (Hours)]]/12</f>
        <v>0</v>
      </c>
      <c r="L110" s="331">
        <f>Table47258588109[[#This Row],[Downtime/Month (Hours)]]*60</f>
        <v>0</v>
      </c>
      <c r="M110" s="330">
        <v>0.5</v>
      </c>
      <c r="N110" s="330">
        <v>1</v>
      </c>
      <c r="O110" s="332">
        <v>0</v>
      </c>
      <c r="P110" s="332">
        <v>1</v>
      </c>
      <c r="Q110" s="129"/>
      <c r="R110" s="4"/>
    </row>
    <row r="111" spans="1:18" hidden="1" outlineLevel="1">
      <c r="A111" s="4"/>
      <c r="B111" s="4"/>
      <c r="C111" s="7"/>
      <c r="D111" s="333" t="s">
        <v>978</v>
      </c>
      <c r="E111" s="16" t="s">
        <v>1365</v>
      </c>
      <c r="F111" s="330">
        <v>0.99990000000000001</v>
      </c>
      <c r="G111" s="331">
        <f>(E76) - Table47258588109[[#This Row],[SLA]]*(E76)</f>
        <v>0</v>
      </c>
      <c r="H111" s="331">
        <f>(24*E76) - Table47258588109[[#This Row],[SLA]]*(24*E76)</f>
        <v>0</v>
      </c>
      <c r="I111" s="331">
        <f>Table47258588109[[#This Row],[Downtime/Year (Hours)]]*60</f>
        <v>0</v>
      </c>
      <c r="J111" s="331">
        <f>Table47258588109[[#This Row],[Downtime/Month (Hours)]]/24</f>
        <v>0</v>
      </c>
      <c r="K111" s="331">
        <f>Table47258588109[[#This Row],[Downtime/Year (Hours)]]/12</f>
        <v>0</v>
      </c>
      <c r="L111" s="331">
        <f>Table47258588109[[#This Row],[Downtime/Month (Hours)]]*60</f>
        <v>0</v>
      </c>
      <c r="M111" s="330">
        <v>1</v>
      </c>
      <c r="N111" s="330">
        <v>1</v>
      </c>
      <c r="O111" s="332">
        <v>0</v>
      </c>
      <c r="P111" s="332">
        <v>1</v>
      </c>
      <c r="Q111" s="132"/>
      <c r="R111" s="4"/>
    </row>
    <row r="112" spans="1:18" hidden="1" outlineLevel="1">
      <c r="A112" s="4"/>
      <c r="B112" s="4"/>
      <c r="C112" s="7"/>
      <c r="D112" s="16" t="s">
        <v>975</v>
      </c>
      <c r="E112" s="16" t="s">
        <v>1365</v>
      </c>
      <c r="F112" s="330">
        <v>0.99950000000000006</v>
      </c>
      <c r="G112" s="331">
        <f>(E76) - Table47258588109[[#This Row],[SLA]]*(E76)</f>
        <v>0</v>
      </c>
      <c r="H112" s="331">
        <f>(24*E76) - Table47258588109[[#This Row],[SLA]]*(24*E76)</f>
        <v>0</v>
      </c>
      <c r="I112" s="331">
        <f>Table47258588109[[#This Row],[Downtime/Year (Hours)]]*60</f>
        <v>0</v>
      </c>
      <c r="J112" s="331">
        <f>Table47258588109[[#This Row],[Downtime/Month (Hours)]]/24</f>
        <v>0</v>
      </c>
      <c r="K112" s="331">
        <f>Table47258588109[[#This Row],[Downtime/Year (Hours)]]/12</f>
        <v>0</v>
      </c>
      <c r="L112" s="331">
        <f>Table47258588109[[#This Row],[Downtime/Month (Hours)]]*60</f>
        <v>0</v>
      </c>
      <c r="M112" s="330">
        <v>0.5</v>
      </c>
      <c r="N112" s="330">
        <v>1</v>
      </c>
      <c r="O112" s="332">
        <v>0</v>
      </c>
      <c r="P112" s="332">
        <v>1</v>
      </c>
      <c r="Q112" s="132"/>
      <c r="R112" s="4"/>
    </row>
    <row r="113" spans="1:18" hidden="1" outlineLevel="1">
      <c r="A113" s="4"/>
      <c r="B113" s="4"/>
      <c r="C113" s="7"/>
      <c r="D113" s="16" t="s">
        <v>982</v>
      </c>
      <c r="E113" s="16" t="s">
        <v>1365</v>
      </c>
      <c r="F113" s="330">
        <v>1</v>
      </c>
      <c r="G113" s="331">
        <f>(E76) - Table47258588109[[#This Row],[SLA]]*(E76)</f>
        <v>0</v>
      </c>
      <c r="H113" s="331">
        <f>(24*E76) - Table47258588109[[#This Row],[SLA]]*(24*E76)</f>
        <v>0</v>
      </c>
      <c r="I113" s="331">
        <f>Table47258588109[[#This Row],[Downtime/Year (Hours)]]*60</f>
        <v>0</v>
      </c>
      <c r="J113" s="331">
        <f>Table47258588109[[#This Row],[Downtime/Month (Hours)]]/24</f>
        <v>0</v>
      </c>
      <c r="K113" s="331">
        <f>Table47258588109[[#This Row],[Downtime/Year (Hours)]]/12</f>
        <v>0</v>
      </c>
      <c r="L113" s="331">
        <f>Table47258588109[[#This Row],[Downtime/Month (Hours)]]*60</f>
        <v>0</v>
      </c>
      <c r="M113" s="330">
        <v>0.75</v>
      </c>
      <c r="N113" s="330">
        <v>1</v>
      </c>
      <c r="O113" s="332">
        <v>1</v>
      </c>
      <c r="P113" s="332">
        <v>8</v>
      </c>
      <c r="Q113" s="129"/>
      <c r="R113" s="4"/>
    </row>
    <row r="114" spans="1:18" ht="16.5" hidden="1" outlineLevel="1">
      <c r="A114" s="4"/>
      <c r="B114" s="4"/>
      <c r="C114" s="7"/>
      <c r="D114" s="18" t="s">
        <v>1368</v>
      </c>
      <c r="E114" s="18" t="s">
        <v>1367</v>
      </c>
      <c r="F114" s="330">
        <v>0.99</v>
      </c>
      <c r="G114" s="331">
        <f>(E76) - Table47258588109[[#This Row],[SLA]]*(E76)</f>
        <v>0</v>
      </c>
      <c r="H114" s="331">
        <f>(24*E76) - Table47258588109[[#This Row],[SLA]]*(24*E76)</f>
        <v>0</v>
      </c>
      <c r="I114" s="331">
        <f>Table47258588109[[#This Row],[Downtime/Year (Hours)]]*60</f>
        <v>0</v>
      </c>
      <c r="J114" s="331">
        <f>Table47258588109[[#This Row],[Downtime/Month (Hours)]]/24</f>
        <v>0</v>
      </c>
      <c r="K114" s="331">
        <f>Table47258588109[[#This Row],[Downtime/Year (Hours)]]/12</f>
        <v>0</v>
      </c>
      <c r="L114" s="331">
        <f>Table47258588109[[#This Row],[Downtime/Month (Hours)]]*60</f>
        <v>0</v>
      </c>
      <c r="M114" s="330">
        <v>0.66</v>
      </c>
      <c r="N114" s="330">
        <v>1</v>
      </c>
      <c r="O114" s="332">
        <v>1</v>
      </c>
      <c r="P114" s="332">
        <v>8</v>
      </c>
      <c r="Q114" s="132"/>
      <c r="R114" s="4"/>
    </row>
    <row r="115" spans="1:18" hidden="1" outlineLevel="1">
      <c r="A115" s="4"/>
      <c r="B115" s="4"/>
      <c r="C115" s="7"/>
      <c r="D115" s="16" t="s">
        <v>1369</v>
      </c>
      <c r="E115" s="16"/>
      <c r="F115" s="330">
        <f>F109*F110*F111*F112*F113*F114</f>
        <v>0.98930710889505002</v>
      </c>
      <c r="G115" s="331">
        <f>(E76) - Table47258588109[[#This Row],[SLA]]*(E76)</f>
        <v>0</v>
      </c>
      <c r="H115" s="331">
        <f>(24*E76) - Table47258588109[[#This Row],[SLA]]*(24*E76)</f>
        <v>0</v>
      </c>
      <c r="I115" s="331">
        <f>Table47258588109[[#This Row],[Downtime/Year (Hours)]]*60</f>
        <v>0</v>
      </c>
      <c r="J115" s="331">
        <f>Table47258588109[[#This Row],[Downtime/Month (Hours)]]/24</f>
        <v>0</v>
      </c>
      <c r="K115" s="331">
        <f>Table47258588109[[#This Row],[Downtime/Year (Hours)]]/12</f>
        <v>0</v>
      </c>
      <c r="L115" s="331">
        <f>Table47258588109[[#This Row],[Downtime/Month (Hours)]]*60</f>
        <v>0</v>
      </c>
      <c r="M115" s="330">
        <f>M109*M110*M111*M112*M113*M114</f>
        <v>6.1874999999999999E-2</v>
      </c>
      <c r="N115" s="330">
        <f>N109*N110*N111*N112*N113*N114</f>
        <v>1</v>
      </c>
      <c r="O115" s="332">
        <f>MAX(O109:O114)</f>
        <v>1</v>
      </c>
      <c r="P115" s="332">
        <f>MAX(P109:P114)</f>
        <v>8</v>
      </c>
      <c r="Q115" s="130"/>
      <c r="R115" s="4"/>
    </row>
    <row r="116" spans="1:18" hidden="1" outlineLevel="1">
      <c r="A116" s="4"/>
      <c r="B116" s="4"/>
      <c r="C116" s="7"/>
      <c r="D116" s="7"/>
      <c r="E116" s="7"/>
      <c r="F116" s="7"/>
      <c r="G116" s="7"/>
      <c r="H116" s="7"/>
      <c r="I116" s="7"/>
      <c r="J116" s="7"/>
      <c r="K116" s="7"/>
      <c r="L116" s="7"/>
      <c r="M116" s="7"/>
      <c r="N116" s="7"/>
      <c r="O116" s="7"/>
      <c r="P116" s="7"/>
      <c r="Q116" s="7"/>
      <c r="R116" s="4"/>
    </row>
    <row r="117" spans="1:18" collapsed="1">
      <c r="A117" s="4"/>
      <c r="B117" s="4"/>
      <c r="C117" s="4"/>
      <c r="D117" s="4"/>
      <c r="E117" s="4"/>
      <c r="F117" s="4"/>
      <c r="G117" s="4"/>
      <c r="H117" s="4"/>
      <c r="I117" s="4"/>
      <c r="J117" s="4"/>
      <c r="K117" s="4"/>
      <c r="L117" s="4"/>
      <c r="M117" s="4"/>
      <c r="N117" s="4"/>
      <c r="O117" s="4"/>
      <c r="P117" s="4"/>
      <c r="Q117" s="4"/>
      <c r="R117" s="4"/>
    </row>
    <row r="118" spans="1:18" ht="18.600000000000001">
      <c r="A118" s="4"/>
      <c r="B118" s="4"/>
      <c r="C118" s="102" t="s">
        <v>1371</v>
      </c>
      <c r="D118" s="102"/>
      <c r="E118" s="102"/>
      <c r="F118" s="102"/>
      <c r="G118" s="102"/>
      <c r="H118" s="102"/>
      <c r="I118" s="102"/>
      <c r="J118" s="102"/>
      <c r="K118" s="102"/>
      <c r="L118" s="102"/>
      <c r="M118" s="102"/>
      <c r="N118" s="102"/>
      <c r="O118" s="102"/>
      <c r="P118" s="102"/>
      <c r="Q118" s="102"/>
      <c r="R118" s="4"/>
    </row>
    <row r="119" spans="1:18" hidden="1" outlineLevel="1">
      <c r="A119" s="4"/>
      <c r="B119" s="4"/>
      <c r="C119" s="4"/>
      <c r="D119" s="4"/>
      <c r="E119" s="4"/>
      <c r="F119" s="4"/>
      <c r="G119" s="4"/>
      <c r="H119" s="4"/>
      <c r="I119" s="4"/>
      <c r="J119" s="4"/>
      <c r="K119" s="4"/>
      <c r="L119" s="4"/>
      <c r="M119" s="4"/>
      <c r="N119" s="4"/>
      <c r="O119" s="4"/>
      <c r="P119" s="4"/>
      <c r="Q119" s="4"/>
      <c r="R119" s="4"/>
    </row>
    <row r="120" spans="1:18" hidden="1" outlineLevel="1">
      <c r="A120" s="4"/>
      <c r="B120" s="4"/>
      <c r="C120" s="7"/>
      <c r="D120" s="7"/>
      <c r="E120" s="7"/>
      <c r="F120" s="7"/>
      <c r="G120" s="7"/>
      <c r="H120" s="7"/>
      <c r="I120" s="7"/>
      <c r="J120" s="7"/>
      <c r="K120" s="7"/>
      <c r="L120" s="7"/>
      <c r="M120" s="7"/>
      <c r="N120" s="7"/>
      <c r="O120" s="7"/>
      <c r="P120" s="7"/>
      <c r="Q120" s="7"/>
      <c r="R120" s="4"/>
    </row>
    <row r="121" spans="1:18" ht="29.1" hidden="1" outlineLevel="1">
      <c r="A121" s="4"/>
      <c r="B121" s="4"/>
      <c r="C121" s="7"/>
      <c r="D121" s="686" t="s">
        <v>1438</v>
      </c>
      <c r="E121" s="334" t="s">
        <v>1345</v>
      </c>
      <c r="F121" s="266" t="s">
        <v>1439</v>
      </c>
      <c r="G121" s="266" t="s">
        <v>1347</v>
      </c>
      <c r="H121" s="266" t="s">
        <v>1348</v>
      </c>
      <c r="I121" s="266" t="s">
        <v>1349</v>
      </c>
      <c r="J121" s="266" t="s">
        <v>1350</v>
      </c>
      <c r="K121" s="266" t="s">
        <v>1351</v>
      </c>
      <c r="L121" s="266" t="s">
        <v>1352</v>
      </c>
      <c r="M121" s="266" t="s">
        <v>1440</v>
      </c>
      <c r="N121" s="266" t="s">
        <v>1441</v>
      </c>
      <c r="O121" s="7"/>
      <c r="P121" s="7"/>
      <c r="Q121" s="7"/>
      <c r="R121" s="4"/>
    </row>
    <row r="122" spans="1:18" hidden="1" outlineLevel="1">
      <c r="A122" s="4"/>
      <c r="B122" s="4"/>
      <c r="C122" s="7"/>
      <c r="D122" s="687"/>
      <c r="E122" s="335" t="s">
        <v>1442</v>
      </c>
      <c r="F122" s="334">
        <f t="shared" ref="F122:N122" si="8">F141</f>
        <v>0.98930710889505002</v>
      </c>
      <c r="G122" s="336">
        <f t="shared" si="8"/>
        <v>0</v>
      </c>
      <c r="H122" s="336">
        <f t="shared" si="8"/>
        <v>0</v>
      </c>
      <c r="I122" s="336">
        <f t="shared" si="8"/>
        <v>0</v>
      </c>
      <c r="J122" s="336">
        <f t="shared" si="8"/>
        <v>0</v>
      </c>
      <c r="K122" s="336">
        <f t="shared" si="8"/>
        <v>0</v>
      </c>
      <c r="L122" s="336">
        <f t="shared" si="8"/>
        <v>0</v>
      </c>
      <c r="M122" s="334">
        <f t="shared" si="8"/>
        <v>6.1874999999999999E-2</v>
      </c>
      <c r="N122" s="334">
        <f t="shared" si="8"/>
        <v>1</v>
      </c>
      <c r="O122" s="7"/>
      <c r="P122" s="7"/>
      <c r="Q122" s="7"/>
      <c r="R122" s="4"/>
    </row>
    <row r="123" spans="1:18" hidden="1" outlineLevel="1">
      <c r="A123" s="4"/>
      <c r="B123" s="4"/>
      <c r="C123" s="7"/>
      <c r="D123" s="687"/>
      <c r="E123" s="337" t="s">
        <v>1443</v>
      </c>
      <c r="F123" s="338">
        <f t="shared" ref="F123:N123" si="9">F154</f>
        <v>0.98930710889505002</v>
      </c>
      <c r="G123" s="336">
        <f t="shared" si="9"/>
        <v>0</v>
      </c>
      <c r="H123" s="336">
        <f t="shared" si="9"/>
        <v>0</v>
      </c>
      <c r="I123" s="336">
        <f t="shared" si="9"/>
        <v>0</v>
      </c>
      <c r="J123" s="336">
        <f t="shared" si="9"/>
        <v>0</v>
      </c>
      <c r="K123" s="336">
        <f t="shared" si="9"/>
        <v>0</v>
      </c>
      <c r="L123" s="336">
        <f t="shared" si="9"/>
        <v>0</v>
      </c>
      <c r="M123" s="334">
        <f t="shared" si="9"/>
        <v>6.1874999999999999E-2</v>
      </c>
      <c r="N123" s="334">
        <f t="shared" si="9"/>
        <v>1</v>
      </c>
      <c r="O123" s="7"/>
      <c r="P123" s="7"/>
      <c r="Q123" s="7"/>
      <c r="R123" s="4"/>
    </row>
    <row r="124" spans="1:18" hidden="1" outlineLevel="1">
      <c r="A124" s="4"/>
      <c r="B124" s="4"/>
      <c r="C124" s="7"/>
      <c r="D124" s="688"/>
      <c r="E124" s="337" t="s">
        <v>1444</v>
      </c>
      <c r="F124" s="338">
        <f>F123-F122</f>
        <v>0</v>
      </c>
      <c r="G124" s="336">
        <f>G123-G122</f>
        <v>0</v>
      </c>
      <c r="H124" s="336">
        <f>H123-H122</f>
        <v>0</v>
      </c>
      <c r="I124" s="336">
        <f t="shared" ref="I124:N124" si="10">I123-I122</f>
        <v>0</v>
      </c>
      <c r="J124" s="336">
        <f t="shared" si="10"/>
        <v>0</v>
      </c>
      <c r="K124" s="336">
        <f t="shared" si="10"/>
        <v>0</v>
      </c>
      <c r="L124" s="336">
        <f t="shared" si="10"/>
        <v>0</v>
      </c>
      <c r="M124" s="334">
        <f t="shared" si="10"/>
        <v>0</v>
      </c>
      <c r="N124" s="334">
        <f t="shared" si="10"/>
        <v>0</v>
      </c>
      <c r="O124" s="7"/>
      <c r="P124" s="7"/>
      <c r="Q124" s="7"/>
      <c r="R124" s="4"/>
    </row>
    <row r="125" spans="1:18" hidden="1" outlineLevel="1">
      <c r="A125" s="4"/>
      <c r="B125" s="4"/>
      <c r="C125" s="7"/>
      <c r="D125" s="7"/>
      <c r="E125" s="7"/>
      <c r="F125" s="7"/>
      <c r="G125" s="7"/>
      <c r="H125" s="7"/>
      <c r="I125" s="7"/>
      <c r="J125" s="7"/>
      <c r="K125" s="7"/>
      <c r="L125" s="7"/>
      <c r="M125" s="7"/>
      <c r="N125" s="7"/>
      <c r="O125" s="7"/>
      <c r="P125" s="7"/>
      <c r="Q125" s="7"/>
      <c r="R125" s="4"/>
    </row>
    <row r="126" spans="1:18" hidden="1" outlineLevel="1">
      <c r="A126" s="4"/>
      <c r="B126" s="4"/>
      <c r="C126" s="7"/>
      <c r="D126" s="124" t="s">
        <v>1445</v>
      </c>
      <c r="E126" s="7"/>
      <c r="F126" s="7"/>
      <c r="G126" s="7"/>
      <c r="H126" s="7"/>
      <c r="I126" s="7"/>
      <c r="J126" s="7"/>
      <c r="K126" s="7"/>
      <c r="L126" s="7"/>
      <c r="M126" s="7"/>
      <c r="N126" s="7"/>
      <c r="O126" s="7"/>
      <c r="P126" s="7"/>
      <c r="Q126" s="7"/>
      <c r="R126" s="4"/>
    </row>
    <row r="127" spans="1:18" hidden="1" outlineLevel="1">
      <c r="A127" s="4"/>
      <c r="B127" s="4"/>
      <c r="C127" s="7"/>
      <c r="D127" s="125" t="s">
        <v>1446</v>
      </c>
      <c r="E127" s="7"/>
      <c r="F127" s="7"/>
      <c r="G127" s="7"/>
      <c r="H127" s="7"/>
      <c r="I127" s="7"/>
      <c r="J127" s="7"/>
      <c r="K127" s="7"/>
      <c r="L127" s="7"/>
      <c r="M127" s="7"/>
      <c r="N127" s="7"/>
      <c r="O127" s="7"/>
      <c r="P127" s="7"/>
      <c r="Q127" s="7"/>
      <c r="R127" s="4"/>
    </row>
    <row r="128" spans="1:18" hidden="1" outlineLevel="1">
      <c r="A128" s="4"/>
      <c r="B128" s="4"/>
      <c r="C128" s="7"/>
      <c r="D128" s="127" t="s">
        <v>1447</v>
      </c>
      <c r="E128" s="7"/>
      <c r="F128" s="7"/>
      <c r="G128" s="7"/>
      <c r="H128" s="7"/>
      <c r="I128" s="7"/>
      <c r="J128" s="7"/>
      <c r="K128" s="7"/>
      <c r="L128" s="7"/>
      <c r="M128" s="7"/>
      <c r="N128" s="7"/>
      <c r="O128" s="7"/>
      <c r="P128" s="7"/>
      <c r="Q128" s="7"/>
      <c r="R128" s="4"/>
    </row>
    <row r="129" spans="1:18" hidden="1" outlineLevel="1">
      <c r="A129" s="4"/>
      <c r="B129" s="4"/>
      <c r="C129" s="7"/>
      <c r="D129" s="126" t="s">
        <v>1448</v>
      </c>
      <c r="E129" s="7"/>
      <c r="F129" s="7"/>
      <c r="G129" s="7"/>
      <c r="H129" s="7"/>
      <c r="I129" s="7"/>
      <c r="J129" s="7"/>
      <c r="K129" s="7"/>
      <c r="L129" s="7"/>
      <c r="M129" s="7"/>
      <c r="N129" s="7"/>
      <c r="O129" s="7"/>
      <c r="P129" s="7"/>
      <c r="Q129" s="7"/>
      <c r="R129" s="4"/>
    </row>
    <row r="130" spans="1:18" hidden="1" outlineLevel="1">
      <c r="A130" s="4"/>
      <c r="B130" s="4"/>
      <c r="C130" s="7"/>
      <c r="D130" s="235"/>
      <c r="E130" s="7"/>
      <c r="F130" s="7"/>
      <c r="G130" s="7"/>
      <c r="H130" s="7"/>
      <c r="I130" s="7"/>
      <c r="J130" s="7"/>
      <c r="K130" s="7"/>
      <c r="L130" s="7"/>
      <c r="M130" s="7"/>
      <c r="N130" s="7"/>
      <c r="O130" s="7"/>
      <c r="P130" s="7"/>
      <c r="Q130" s="7"/>
      <c r="R130" s="4"/>
    </row>
    <row r="131" spans="1:18" hidden="1" outlineLevel="1">
      <c r="A131" s="4"/>
      <c r="B131" s="4"/>
      <c r="C131" s="4"/>
      <c r="D131" s="11"/>
      <c r="E131" s="11"/>
      <c r="F131" s="4"/>
      <c r="G131" s="4"/>
      <c r="H131" s="4"/>
      <c r="I131" s="4"/>
      <c r="J131" s="4"/>
      <c r="K131" s="4"/>
      <c r="L131" s="4"/>
      <c r="M131" s="4"/>
      <c r="N131" s="4"/>
      <c r="O131" s="4"/>
      <c r="P131" s="4"/>
      <c r="Q131" s="4"/>
      <c r="R131" s="4"/>
    </row>
    <row r="132" spans="1:18" ht="18.600000000000001" hidden="1" outlineLevel="1">
      <c r="A132" s="101"/>
      <c r="B132" s="101"/>
      <c r="C132" s="562" t="s">
        <v>1454</v>
      </c>
      <c r="D132" s="102"/>
      <c r="E132" s="101"/>
      <c r="F132" s="101"/>
      <c r="G132" s="101"/>
      <c r="H132" s="101"/>
      <c r="I132" s="101"/>
      <c r="J132" s="101"/>
      <c r="K132" s="101"/>
      <c r="L132" s="101"/>
      <c r="M132" s="101"/>
      <c r="N132" s="101"/>
      <c r="O132" s="101"/>
      <c r="P132" s="101"/>
      <c r="Q132" s="101"/>
      <c r="R132" s="4"/>
    </row>
    <row r="133" spans="1:18" hidden="1" outlineLevel="1">
      <c r="A133" s="4"/>
      <c r="B133" s="4"/>
      <c r="C133" s="4"/>
      <c r="D133" s="4"/>
      <c r="E133" s="4"/>
      <c r="F133" s="4"/>
      <c r="G133" s="4"/>
      <c r="H133" s="4"/>
      <c r="I133" s="4"/>
      <c r="J133" s="4"/>
      <c r="K133" s="4"/>
      <c r="L133" s="4"/>
      <c r="M133" s="4"/>
      <c r="N133" s="4"/>
      <c r="O133" s="4"/>
      <c r="P133" s="4"/>
      <c r="Q133" s="4"/>
      <c r="R133" s="4"/>
    </row>
    <row r="134" spans="1:18" hidden="1" outlineLevel="1">
      <c r="A134" s="4"/>
      <c r="B134" s="4"/>
      <c r="C134" s="7"/>
      <c r="D134" s="7"/>
      <c r="E134" s="7"/>
      <c r="F134" s="7"/>
      <c r="G134" s="7"/>
      <c r="H134" s="7"/>
      <c r="I134" s="7"/>
      <c r="J134" s="7"/>
      <c r="K134" s="7"/>
      <c r="L134" s="7"/>
      <c r="M134" s="7"/>
      <c r="N134" s="7"/>
      <c r="O134" s="7"/>
      <c r="P134" s="7"/>
      <c r="Q134" s="7"/>
      <c r="R134" s="4"/>
    </row>
    <row r="135" spans="1:18" ht="29.1" hidden="1" outlineLevel="1">
      <c r="A135" s="4"/>
      <c r="B135" s="4"/>
      <c r="C135" s="7"/>
      <c r="D135" s="18" t="s">
        <v>1450</v>
      </c>
      <c r="E135" s="18" t="s">
        <v>1116</v>
      </c>
      <c r="F135" s="18" t="s">
        <v>207</v>
      </c>
      <c r="G135" s="18" t="s">
        <v>1347</v>
      </c>
      <c r="H135" s="18" t="s">
        <v>1348</v>
      </c>
      <c r="I135" s="18" t="s">
        <v>1349</v>
      </c>
      <c r="J135" s="18" t="s">
        <v>1350</v>
      </c>
      <c r="K135" s="18" t="s">
        <v>1351</v>
      </c>
      <c r="L135" s="18" t="s">
        <v>1352</v>
      </c>
      <c r="M135" s="18" t="s">
        <v>1353</v>
      </c>
      <c r="N135" s="18" t="s">
        <v>1354</v>
      </c>
      <c r="O135" s="18" t="s">
        <v>1362</v>
      </c>
      <c r="P135" s="18" t="s">
        <v>1363</v>
      </c>
      <c r="Q135" s="54"/>
      <c r="R135" s="4"/>
    </row>
    <row r="136" spans="1:18" ht="16.5" hidden="1" outlineLevel="1">
      <c r="A136" s="4"/>
      <c r="B136" s="4"/>
      <c r="C136" s="7"/>
      <c r="D136" s="16" t="s">
        <v>1364</v>
      </c>
      <c r="E136" s="16" t="s">
        <v>1365</v>
      </c>
      <c r="F136" s="330">
        <v>0.99990000000000001</v>
      </c>
      <c r="G136" s="331">
        <f>(E115) - Table472590114[[#This Row],[SLA]]*(E115)</f>
        <v>0</v>
      </c>
      <c r="H136" s="331">
        <f>(24*E115) - Table472590114[[#This Row],[SLA]]*(24*E115)</f>
        <v>0</v>
      </c>
      <c r="I136" s="331">
        <f>Table472590114[[#This Row],[Downtime/Year (Hours)]]*60</f>
        <v>0</v>
      </c>
      <c r="J136" s="331">
        <f>Table472590114[[#This Row],[Downtime/Month (Hours)]]/24</f>
        <v>0</v>
      </c>
      <c r="K136" s="331">
        <f>Table472590114[[#This Row],[Downtime/Year (Hours)]]/12</f>
        <v>0</v>
      </c>
      <c r="L136" s="331">
        <f>Table472590114[[#This Row],[Downtime/Month (Hours)]]*60</f>
        <v>0</v>
      </c>
      <c r="M136" s="330">
        <v>0.5</v>
      </c>
      <c r="N136" s="330">
        <v>1</v>
      </c>
      <c r="O136" s="332">
        <v>0</v>
      </c>
      <c r="P136" s="332">
        <v>1</v>
      </c>
      <c r="Q136" s="129"/>
      <c r="R136" s="4"/>
    </row>
    <row r="137" spans="1:18" hidden="1" outlineLevel="1">
      <c r="A137" s="4"/>
      <c r="B137" s="4"/>
      <c r="C137" s="7"/>
      <c r="D137" s="16" t="s">
        <v>977</v>
      </c>
      <c r="E137" s="16" t="s">
        <v>1365</v>
      </c>
      <c r="F137" s="330">
        <v>1</v>
      </c>
      <c r="G137" s="331">
        <f>(E115) - Table472590114[[#This Row],[SLA]]*(E115)</f>
        <v>0</v>
      </c>
      <c r="H137" s="331">
        <f>(24*E115) - Table472590114[[#This Row],[SLA]]*(24*E115)</f>
        <v>0</v>
      </c>
      <c r="I137" s="331">
        <f>Table472590114[[#This Row],[Downtime/Year (Hours)]]*60</f>
        <v>0</v>
      </c>
      <c r="J137" s="331">
        <f>Table472590114[[#This Row],[Downtime/Month (Hours)]]/24</f>
        <v>0</v>
      </c>
      <c r="K137" s="331">
        <f>Table472590114[[#This Row],[Downtime/Year (Hours)]]/12</f>
        <v>0</v>
      </c>
      <c r="L137" s="331">
        <f>Table472590114[[#This Row],[Downtime/Month (Hours)]]*60</f>
        <v>0</v>
      </c>
      <c r="M137" s="330">
        <v>0.5</v>
      </c>
      <c r="N137" s="330">
        <v>1</v>
      </c>
      <c r="O137" s="332">
        <v>0</v>
      </c>
      <c r="P137" s="332">
        <v>1</v>
      </c>
      <c r="Q137" s="129"/>
      <c r="R137" s="4"/>
    </row>
    <row r="138" spans="1:18" hidden="1" outlineLevel="1">
      <c r="A138" s="4"/>
      <c r="B138" s="4"/>
      <c r="C138" s="7"/>
      <c r="D138" s="16" t="s">
        <v>975</v>
      </c>
      <c r="E138" s="16" t="s">
        <v>1365</v>
      </c>
      <c r="F138" s="330">
        <v>0.99950000000000006</v>
      </c>
      <c r="G138" s="331">
        <f>(E115) - Table472590114[[#This Row],[SLA]]*(E115)</f>
        <v>0</v>
      </c>
      <c r="H138" s="331">
        <f>(24*E115) - Table472590114[[#This Row],[SLA]]*(24*E115)</f>
        <v>0</v>
      </c>
      <c r="I138" s="331">
        <f>Table472590114[[#This Row],[Downtime/Year (Hours)]]*60</f>
        <v>0</v>
      </c>
      <c r="J138" s="331">
        <f>Table472590114[[#This Row],[Downtime/Month (Hours)]]/24</f>
        <v>0</v>
      </c>
      <c r="K138" s="331">
        <f>Table472590114[[#This Row],[Downtime/Year (Hours)]]/12</f>
        <v>0</v>
      </c>
      <c r="L138" s="331">
        <f>Table472590114[[#This Row],[Downtime/Month (Hours)]]*60</f>
        <v>0</v>
      </c>
      <c r="M138" s="330">
        <v>0.5</v>
      </c>
      <c r="N138" s="330">
        <v>1</v>
      </c>
      <c r="O138" s="332">
        <v>0</v>
      </c>
      <c r="P138" s="332">
        <v>1</v>
      </c>
      <c r="Q138" s="129"/>
      <c r="R138" s="4"/>
    </row>
    <row r="139" spans="1:18" hidden="1" outlineLevel="1">
      <c r="A139" s="4"/>
      <c r="B139" s="4"/>
      <c r="C139" s="7"/>
      <c r="D139" s="16" t="s">
        <v>982</v>
      </c>
      <c r="E139" s="16" t="s">
        <v>1365</v>
      </c>
      <c r="F139" s="330">
        <v>0.99990000000000001</v>
      </c>
      <c r="G139" s="331">
        <f>(E115) - Table472590114[[#This Row],[SLA]]*(E115)</f>
        <v>0</v>
      </c>
      <c r="H139" s="331">
        <f>(24*E115) - Table472590114[[#This Row],[SLA]]*(24*E115)</f>
        <v>0</v>
      </c>
      <c r="I139" s="331">
        <f>Table472590114[[#This Row],[Downtime/Year (Hours)]]*60</f>
        <v>0</v>
      </c>
      <c r="J139" s="331">
        <f>Table472590114[[#This Row],[Downtime/Month (Hours)]]/24</f>
        <v>0</v>
      </c>
      <c r="K139" s="331">
        <f>Table472590114[[#This Row],[Downtime/Year (Hours)]]/12</f>
        <v>0</v>
      </c>
      <c r="L139" s="331">
        <f>Table472590114[[#This Row],[Downtime/Month (Hours)]]*60</f>
        <v>0</v>
      </c>
      <c r="M139" s="330">
        <v>0.75</v>
      </c>
      <c r="N139" s="330">
        <v>1</v>
      </c>
      <c r="O139" s="332">
        <v>1</v>
      </c>
      <c r="P139" s="332">
        <v>8</v>
      </c>
      <c r="Q139" s="129"/>
      <c r="R139" s="4"/>
    </row>
    <row r="140" spans="1:18" ht="16.5" hidden="1" outlineLevel="1">
      <c r="A140" s="4"/>
      <c r="B140" s="4"/>
      <c r="C140" s="7"/>
      <c r="D140" s="18" t="s">
        <v>1368</v>
      </c>
      <c r="E140" s="18" t="s">
        <v>1367</v>
      </c>
      <c r="F140" s="330">
        <v>0.99</v>
      </c>
      <c r="G140" s="331">
        <f>(E115) - Table472590114[[#This Row],[SLA]]*(E115)</f>
        <v>0</v>
      </c>
      <c r="H140" s="331">
        <f>(24*E115) - Table472590114[[#This Row],[SLA]]*(24*E115)</f>
        <v>0</v>
      </c>
      <c r="I140" s="331">
        <f>Table472590114[[#This Row],[Downtime/Year (Hours)]]*60</f>
        <v>0</v>
      </c>
      <c r="J140" s="331">
        <f>Table472590114[[#This Row],[Downtime/Month (Hours)]]/24</f>
        <v>0</v>
      </c>
      <c r="K140" s="331">
        <f>Table472590114[[#This Row],[Downtime/Year (Hours)]]/12</f>
        <v>0</v>
      </c>
      <c r="L140" s="331">
        <f>Table472590114[[#This Row],[Downtime/Month (Hours)]]*60</f>
        <v>0</v>
      </c>
      <c r="M140" s="330">
        <v>0.66</v>
      </c>
      <c r="N140" s="330">
        <v>1</v>
      </c>
      <c r="O140" s="332">
        <v>1</v>
      </c>
      <c r="P140" s="332">
        <v>8</v>
      </c>
      <c r="Q140" s="129"/>
      <c r="R140" s="4"/>
    </row>
    <row r="141" spans="1:18" hidden="1" outlineLevel="1">
      <c r="A141" s="4"/>
      <c r="B141" s="4"/>
      <c r="C141" s="7"/>
      <c r="D141" s="16" t="s">
        <v>1369</v>
      </c>
      <c r="E141" s="16"/>
      <c r="F141" s="330">
        <f>F136*F137*F138*F139*F140</f>
        <v>0.98930710889505002</v>
      </c>
      <c r="G141" s="331">
        <f>(E115) - Table472590114[[#This Row],[SLA]]*(E115)</f>
        <v>0</v>
      </c>
      <c r="H141" s="331">
        <f>(24*E115) - Table472590114[[#This Row],[SLA]]*(24*E115)</f>
        <v>0</v>
      </c>
      <c r="I141" s="331">
        <f>Table472590114[[#This Row],[Downtime/Year (Hours)]]*60</f>
        <v>0</v>
      </c>
      <c r="J141" s="331">
        <f>Table472590114[[#This Row],[Downtime/Month (Hours)]]/24</f>
        <v>0</v>
      </c>
      <c r="K141" s="331">
        <f>Table472590114[[#This Row],[Downtime/Year (Hours)]]/12</f>
        <v>0</v>
      </c>
      <c r="L141" s="331">
        <f>Table472590114[[#This Row],[Downtime/Month (Hours)]]*60</f>
        <v>0</v>
      </c>
      <c r="M141" s="330">
        <f>M136*M137*M138*M139*M140</f>
        <v>6.1874999999999999E-2</v>
      </c>
      <c r="N141" s="330">
        <f>N136*N137*N138*N139*N140</f>
        <v>1</v>
      </c>
      <c r="O141" s="332">
        <f>MAX(O136:O140)</f>
        <v>1</v>
      </c>
      <c r="P141" s="332">
        <f>MAX(P136:P140)</f>
        <v>8</v>
      </c>
      <c r="Q141" s="130"/>
      <c r="R141" s="4"/>
    </row>
    <row r="142" spans="1:18" hidden="1" outlineLevel="1">
      <c r="A142" s="4"/>
      <c r="B142" s="4"/>
      <c r="C142" s="7"/>
      <c r="D142" s="7"/>
      <c r="E142" s="7"/>
      <c r="F142" s="7"/>
      <c r="G142" s="7"/>
      <c r="H142" s="7"/>
      <c r="I142" s="7"/>
      <c r="J142" s="7"/>
      <c r="K142" s="7"/>
      <c r="L142" s="7"/>
      <c r="M142" s="7"/>
      <c r="N142" s="7"/>
      <c r="O142" s="7"/>
      <c r="P142" s="7"/>
      <c r="Q142" s="7"/>
      <c r="R142" s="4"/>
    </row>
    <row r="143" spans="1:18" hidden="1" outlineLevel="1">
      <c r="A143" s="4"/>
      <c r="B143" s="4"/>
      <c r="C143" s="4"/>
      <c r="D143" s="4"/>
      <c r="E143" s="4"/>
      <c r="F143" s="4"/>
      <c r="G143" s="4"/>
      <c r="H143" s="4"/>
      <c r="I143" s="4"/>
      <c r="J143" s="4"/>
      <c r="K143" s="4"/>
      <c r="L143" s="4"/>
      <c r="M143" s="4"/>
      <c r="N143" s="4"/>
      <c r="O143" s="4"/>
      <c r="P143" s="4"/>
      <c r="Q143" s="4"/>
      <c r="R143" s="4"/>
    </row>
    <row r="144" spans="1:18" ht="18.600000000000001" hidden="1" outlineLevel="1">
      <c r="A144" s="102"/>
      <c r="B144" s="102"/>
      <c r="C144" s="562" t="s">
        <v>1455</v>
      </c>
      <c r="D144" s="102"/>
      <c r="E144" s="102"/>
      <c r="F144" s="102"/>
      <c r="G144" s="102"/>
      <c r="H144" s="102"/>
      <c r="I144" s="102"/>
      <c r="J144" s="102"/>
      <c r="K144" s="102"/>
      <c r="L144" s="102"/>
      <c r="M144" s="102"/>
      <c r="N144" s="102"/>
      <c r="O144" s="102"/>
      <c r="P144" s="102"/>
      <c r="Q144" s="102"/>
      <c r="R144" s="4"/>
    </row>
    <row r="145" spans="1:18" ht="18.600000000000001" hidden="1" outlineLevel="1">
      <c r="A145" s="102"/>
      <c r="B145" s="102"/>
      <c r="C145" s="102"/>
      <c r="D145" s="102"/>
      <c r="E145" s="102"/>
      <c r="F145" s="102"/>
      <c r="G145" s="102"/>
      <c r="H145" s="102"/>
      <c r="I145" s="102"/>
      <c r="J145" s="102"/>
      <c r="K145" s="102"/>
      <c r="L145" s="102"/>
      <c r="M145" s="102"/>
      <c r="N145" s="102"/>
      <c r="O145" s="102"/>
      <c r="P145" s="102"/>
      <c r="Q145" s="102"/>
      <c r="R145" s="4"/>
    </row>
    <row r="146" spans="1:18" ht="18.600000000000001" hidden="1" outlineLevel="1">
      <c r="A146" s="102"/>
      <c r="B146" s="102"/>
      <c r="C146" s="131"/>
      <c r="D146" s="131"/>
      <c r="E146" s="131"/>
      <c r="F146" s="131"/>
      <c r="G146" s="131"/>
      <c r="H146" s="131"/>
      <c r="I146" s="131"/>
      <c r="J146" s="131"/>
      <c r="K146" s="131"/>
      <c r="L146" s="131"/>
      <c r="M146" s="131"/>
      <c r="N146" s="131"/>
      <c r="O146" s="131"/>
      <c r="P146" s="131"/>
      <c r="Q146" s="131"/>
      <c r="R146" s="4"/>
    </row>
    <row r="147" spans="1:18" ht="29.1" hidden="1" outlineLevel="1">
      <c r="A147" s="4"/>
      <c r="B147" s="4"/>
      <c r="C147" s="7"/>
      <c r="D147" s="18" t="s">
        <v>1450</v>
      </c>
      <c r="E147" s="18" t="s">
        <v>1116</v>
      </c>
      <c r="F147" s="18" t="s">
        <v>207</v>
      </c>
      <c r="G147" s="18" t="s">
        <v>1347</v>
      </c>
      <c r="H147" s="18" t="s">
        <v>1348</v>
      </c>
      <c r="I147" s="18" t="s">
        <v>1349</v>
      </c>
      <c r="J147" s="18" t="s">
        <v>1350</v>
      </c>
      <c r="K147" s="18" t="s">
        <v>1351</v>
      </c>
      <c r="L147" s="18" t="s">
        <v>1352</v>
      </c>
      <c r="M147" s="18" t="s">
        <v>1353</v>
      </c>
      <c r="N147" s="18" t="s">
        <v>1354</v>
      </c>
      <c r="O147" s="18" t="s">
        <v>1362</v>
      </c>
      <c r="P147" s="18" t="s">
        <v>1363</v>
      </c>
      <c r="Q147" s="54"/>
      <c r="R147" s="4"/>
    </row>
    <row r="148" spans="1:18" ht="16.5" hidden="1" outlineLevel="1">
      <c r="A148" s="4"/>
      <c r="B148" s="4"/>
      <c r="C148" s="7"/>
      <c r="D148" s="16" t="s">
        <v>1364</v>
      </c>
      <c r="E148" s="16" t="s">
        <v>1365</v>
      </c>
      <c r="F148" s="330">
        <v>0.99990000000000001</v>
      </c>
      <c r="G148" s="331">
        <f>(E115) - Table47258588112[[#This Row],[SLA]]*(E115)</f>
        <v>0</v>
      </c>
      <c r="H148" s="331">
        <f>(24*E115) - Table47258588112[[#This Row],[SLA]]*(24*E115)</f>
        <v>0</v>
      </c>
      <c r="I148" s="331">
        <f>Table47258588112[[#This Row],[Downtime/Year (Hours)]]*60</f>
        <v>0</v>
      </c>
      <c r="J148" s="331">
        <f>Table47258588112[[#This Row],[Downtime/Month (Hours)]]/24</f>
        <v>0</v>
      </c>
      <c r="K148" s="331">
        <f>Table47258588112[[#This Row],[Downtime/Year (Hours)]]/12</f>
        <v>0</v>
      </c>
      <c r="L148" s="331">
        <f>Table47258588112[[#This Row],[Downtime/Month (Hours)]]*60</f>
        <v>0</v>
      </c>
      <c r="M148" s="330">
        <v>0.5</v>
      </c>
      <c r="N148" s="330">
        <v>1</v>
      </c>
      <c r="O148" s="332">
        <v>0</v>
      </c>
      <c r="P148" s="332">
        <v>1</v>
      </c>
      <c r="Q148" s="129"/>
      <c r="R148" s="4"/>
    </row>
    <row r="149" spans="1:18" hidden="1" outlineLevel="1">
      <c r="A149" s="4"/>
      <c r="B149" s="4"/>
      <c r="C149" s="7"/>
      <c r="D149" s="16" t="s">
        <v>977</v>
      </c>
      <c r="E149" s="16" t="s">
        <v>1365</v>
      </c>
      <c r="F149" s="330">
        <v>1</v>
      </c>
      <c r="G149" s="331">
        <f>(E115) - Table47258588112[[#This Row],[SLA]]*(E115)</f>
        <v>0</v>
      </c>
      <c r="H149" s="331">
        <f>(24*E115) - Table47258588112[[#This Row],[SLA]]*(24*E115)</f>
        <v>0</v>
      </c>
      <c r="I149" s="331">
        <f>Table47258588112[[#This Row],[Downtime/Year (Hours)]]*60</f>
        <v>0</v>
      </c>
      <c r="J149" s="331">
        <f>Table47258588112[[#This Row],[Downtime/Month (Hours)]]/24</f>
        <v>0</v>
      </c>
      <c r="K149" s="331">
        <f>Table47258588112[[#This Row],[Downtime/Year (Hours)]]/12</f>
        <v>0</v>
      </c>
      <c r="L149" s="331">
        <f>Table47258588112[[#This Row],[Downtime/Month (Hours)]]*60</f>
        <v>0</v>
      </c>
      <c r="M149" s="330">
        <v>0.5</v>
      </c>
      <c r="N149" s="330">
        <v>1</v>
      </c>
      <c r="O149" s="332">
        <v>0</v>
      </c>
      <c r="P149" s="332">
        <v>1</v>
      </c>
      <c r="Q149" s="129"/>
      <c r="R149" s="4"/>
    </row>
    <row r="150" spans="1:18" hidden="1" outlineLevel="1">
      <c r="A150" s="4"/>
      <c r="B150" s="4"/>
      <c r="C150" s="7"/>
      <c r="D150" s="333" t="s">
        <v>978</v>
      </c>
      <c r="E150" s="16" t="s">
        <v>1365</v>
      </c>
      <c r="F150" s="330">
        <v>0.99990000000000001</v>
      </c>
      <c r="G150" s="331">
        <f>(E115) - Table47258588112[[#This Row],[SLA]]*(E115)</f>
        <v>0</v>
      </c>
      <c r="H150" s="331">
        <f>(24*E115) - Table47258588112[[#This Row],[SLA]]*(24*E115)</f>
        <v>0</v>
      </c>
      <c r="I150" s="331">
        <f>Table47258588112[[#This Row],[Downtime/Year (Hours)]]*60</f>
        <v>0</v>
      </c>
      <c r="J150" s="331">
        <f>Table47258588112[[#This Row],[Downtime/Month (Hours)]]/24</f>
        <v>0</v>
      </c>
      <c r="K150" s="331">
        <f>Table47258588112[[#This Row],[Downtime/Year (Hours)]]/12</f>
        <v>0</v>
      </c>
      <c r="L150" s="331">
        <f>Table47258588112[[#This Row],[Downtime/Month (Hours)]]*60</f>
        <v>0</v>
      </c>
      <c r="M150" s="330">
        <v>1</v>
      </c>
      <c r="N150" s="330">
        <v>1</v>
      </c>
      <c r="O150" s="332">
        <v>0</v>
      </c>
      <c r="P150" s="332">
        <v>1</v>
      </c>
      <c r="Q150" s="132"/>
      <c r="R150" s="4"/>
    </row>
    <row r="151" spans="1:18" hidden="1" outlineLevel="1">
      <c r="A151" s="4"/>
      <c r="B151" s="4"/>
      <c r="C151" s="7"/>
      <c r="D151" s="16" t="s">
        <v>975</v>
      </c>
      <c r="E151" s="16" t="s">
        <v>1365</v>
      </c>
      <c r="F151" s="330">
        <v>0.99950000000000006</v>
      </c>
      <c r="G151" s="331">
        <f>(E115) - Table47258588112[[#This Row],[SLA]]*(E115)</f>
        <v>0</v>
      </c>
      <c r="H151" s="331">
        <f>(24*E115) - Table47258588112[[#This Row],[SLA]]*(24*E115)</f>
        <v>0</v>
      </c>
      <c r="I151" s="331">
        <f>Table47258588112[[#This Row],[Downtime/Year (Hours)]]*60</f>
        <v>0</v>
      </c>
      <c r="J151" s="331">
        <f>Table47258588112[[#This Row],[Downtime/Month (Hours)]]/24</f>
        <v>0</v>
      </c>
      <c r="K151" s="331">
        <f>Table47258588112[[#This Row],[Downtime/Year (Hours)]]/12</f>
        <v>0</v>
      </c>
      <c r="L151" s="331">
        <f>Table47258588112[[#This Row],[Downtime/Month (Hours)]]*60</f>
        <v>0</v>
      </c>
      <c r="M151" s="330">
        <v>0.5</v>
      </c>
      <c r="N151" s="330">
        <v>1</v>
      </c>
      <c r="O151" s="332">
        <v>0</v>
      </c>
      <c r="P151" s="332">
        <v>1</v>
      </c>
      <c r="Q151" s="132"/>
      <c r="R151" s="4"/>
    </row>
    <row r="152" spans="1:18" hidden="1" outlineLevel="1">
      <c r="A152" s="4"/>
      <c r="B152" s="4"/>
      <c r="C152" s="7"/>
      <c r="D152" s="16" t="s">
        <v>982</v>
      </c>
      <c r="E152" s="16" t="s">
        <v>1365</v>
      </c>
      <c r="F152" s="330">
        <v>1</v>
      </c>
      <c r="G152" s="331">
        <f>(E115) - Table47258588112[[#This Row],[SLA]]*(E115)</f>
        <v>0</v>
      </c>
      <c r="H152" s="331">
        <f>(24*E115) - Table47258588112[[#This Row],[SLA]]*(24*E115)</f>
        <v>0</v>
      </c>
      <c r="I152" s="331">
        <f>Table47258588112[[#This Row],[Downtime/Year (Hours)]]*60</f>
        <v>0</v>
      </c>
      <c r="J152" s="331">
        <f>Table47258588112[[#This Row],[Downtime/Month (Hours)]]/24</f>
        <v>0</v>
      </c>
      <c r="K152" s="331">
        <f>Table47258588112[[#This Row],[Downtime/Year (Hours)]]/12</f>
        <v>0</v>
      </c>
      <c r="L152" s="331">
        <f>Table47258588112[[#This Row],[Downtime/Month (Hours)]]*60</f>
        <v>0</v>
      </c>
      <c r="M152" s="330">
        <v>0.75</v>
      </c>
      <c r="N152" s="330">
        <v>1</v>
      </c>
      <c r="O152" s="332">
        <v>1</v>
      </c>
      <c r="P152" s="332">
        <v>8</v>
      </c>
      <c r="Q152" s="129"/>
      <c r="R152" s="4"/>
    </row>
    <row r="153" spans="1:18" ht="16.5" hidden="1" outlineLevel="1">
      <c r="A153" s="4"/>
      <c r="B153" s="4"/>
      <c r="C153" s="7"/>
      <c r="D153" s="18" t="s">
        <v>1368</v>
      </c>
      <c r="E153" s="18" t="s">
        <v>1367</v>
      </c>
      <c r="F153" s="330">
        <v>0.99</v>
      </c>
      <c r="G153" s="331">
        <f>(E115) - Table47258588112[[#This Row],[SLA]]*(E115)</f>
        <v>0</v>
      </c>
      <c r="H153" s="331">
        <f>(24*E115) - Table47258588112[[#This Row],[SLA]]*(24*E115)</f>
        <v>0</v>
      </c>
      <c r="I153" s="331">
        <f>Table47258588112[[#This Row],[Downtime/Year (Hours)]]*60</f>
        <v>0</v>
      </c>
      <c r="J153" s="331">
        <f>Table47258588112[[#This Row],[Downtime/Month (Hours)]]/24</f>
        <v>0</v>
      </c>
      <c r="K153" s="331">
        <f>Table47258588112[[#This Row],[Downtime/Year (Hours)]]/12</f>
        <v>0</v>
      </c>
      <c r="L153" s="331">
        <f>Table47258588112[[#This Row],[Downtime/Month (Hours)]]*60</f>
        <v>0</v>
      </c>
      <c r="M153" s="330">
        <v>0.66</v>
      </c>
      <c r="N153" s="330">
        <v>1</v>
      </c>
      <c r="O153" s="332">
        <v>1</v>
      </c>
      <c r="P153" s="332">
        <v>8</v>
      </c>
      <c r="Q153" s="132"/>
      <c r="R153" s="4"/>
    </row>
    <row r="154" spans="1:18" hidden="1" outlineLevel="1">
      <c r="A154" s="4"/>
      <c r="B154" s="4"/>
      <c r="C154" s="7"/>
      <c r="D154" s="16" t="s">
        <v>1369</v>
      </c>
      <c r="E154" s="16"/>
      <c r="F154" s="330">
        <f>F148*F149*F150*F151*F152*F153</f>
        <v>0.98930710889505002</v>
      </c>
      <c r="G154" s="331">
        <f>(E115) - Table47258588112[[#This Row],[SLA]]*(E115)</f>
        <v>0</v>
      </c>
      <c r="H154" s="331">
        <f>(24*E115) - Table47258588112[[#This Row],[SLA]]*(24*E115)</f>
        <v>0</v>
      </c>
      <c r="I154" s="331">
        <f>Table47258588112[[#This Row],[Downtime/Year (Hours)]]*60</f>
        <v>0</v>
      </c>
      <c r="J154" s="331">
        <f>Table47258588112[[#This Row],[Downtime/Month (Hours)]]/24</f>
        <v>0</v>
      </c>
      <c r="K154" s="331">
        <f>Table47258588112[[#This Row],[Downtime/Year (Hours)]]/12</f>
        <v>0</v>
      </c>
      <c r="L154" s="331">
        <f>Table47258588112[[#This Row],[Downtime/Month (Hours)]]*60</f>
        <v>0</v>
      </c>
      <c r="M154" s="330">
        <f>M148*M149*M150*M151*M152*M153</f>
        <v>6.1874999999999999E-2</v>
      </c>
      <c r="N154" s="330">
        <f>N148*N149*N150*N151*N152*N153</f>
        <v>1</v>
      </c>
      <c r="O154" s="332">
        <f>MAX(O148:O153)</f>
        <v>1</v>
      </c>
      <c r="P154" s="332">
        <f>MAX(P148:P153)</f>
        <v>8</v>
      </c>
      <c r="Q154" s="130"/>
      <c r="R154" s="4"/>
    </row>
    <row r="155" spans="1:18" hidden="1" outlineLevel="1">
      <c r="A155" s="4"/>
      <c r="B155" s="4"/>
      <c r="C155" s="7"/>
      <c r="D155" s="7"/>
      <c r="E155" s="7"/>
      <c r="F155" s="7"/>
      <c r="G155" s="7"/>
      <c r="H155" s="7"/>
      <c r="I155" s="7"/>
      <c r="J155" s="7"/>
      <c r="K155" s="7"/>
      <c r="L155" s="7"/>
      <c r="M155" s="7"/>
      <c r="N155" s="7"/>
      <c r="O155" s="7"/>
      <c r="P155" s="7"/>
      <c r="Q155" s="7"/>
      <c r="R155" s="4"/>
    </row>
    <row r="156" spans="1:18" collapsed="1">
      <c r="A156" s="4"/>
      <c r="B156" s="4"/>
      <c r="C156" s="4"/>
      <c r="D156" s="4"/>
      <c r="E156" s="4"/>
      <c r="F156" s="4"/>
      <c r="G156" s="4"/>
      <c r="H156" s="4"/>
      <c r="I156" s="4"/>
      <c r="J156" s="4"/>
      <c r="K156" s="4"/>
      <c r="L156" s="4"/>
      <c r="M156" s="4"/>
      <c r="N156" s="4"/>
      <c r="O156" s="4"/>
      <c r="P156" s="4"/>
      <c r="Q156" s="4"/>
      <c r="R156" s="4"/>
    </row>
    <row r="157" spans="1:18" ht="18.600000000000001">
      <c r="A157" s="4"/>
      <c r="B157" s="4"/>
      <c r="C157" s="102" t="s">
        <v>1372</v>
      </c>
      <c r="D157" s="102"/>
      <c r="E157" s="102"/>
      <c r="F157" s="102"/>
      <c r="G157" s="102"/>
      <c r="H157" s="102"/>
      <c r="I157" s="102"/>
      <c r="J157" s="102"/>
      <c r="K157" s="102"/>
      <c r="L157" s="102"/>
      <c r="M157" s="102"/>
      <c r="N157" s="102"/>
      <c r="O157" s="102"/>
      <c r="P157" s="102"/>
      <c r="Q157" s="102"/>
      <c r="R157" s="4"/>
    </row>
    <row r="158" spans="1:18" hidden="1" outlineLevel="1">
      <c r="A158" s="4"/>
      <c r="B158" s="4"/>
      <c r="C158" s="4"/>
      <c r="D158" s="4"/>
      <c r="E158" s="4"/>
      <c r="F158" s="4"/>
      <c r="G158" s="4"/>
      <c r="H158" s="4"/>
      <c r="I158" s="4"/>
      <c r="J158" s="4"/>
      <c r="K158" s="4"/>
      <c r="L158" s="4"/>
      <c r="M158" s="4"/>
      <c r="N158" s="4"/>
      <c r="O158" s="4"/>
      <c r="P158" s="4"/>
      <c r="Q158" s="4"/>
      <c r="R158" s="4"/>
    </row>
    <row r="159" spans="1:18" hidden="1" outlineLevel="1">
      <c r="A159" s="4"/>
      <c r="B159" s="4"/>
      <c r="C159" s="7"/>
      <c r="D159" s="7"/>
      <c r="E159" s="7"/>
      <c r="F159" s="7"/>
      <c r="G159" s="7"/>
      <c r="H159" s="7"/>
      <c r="I159" s="7"/>
      <c r="J159" s="7"/>
      <c r="K159" s="7"/>
      <c r="L159" s="7"/>
      <c r="M159" s="7"/>
      <c r="N159" s="7"/>
      <c r="O159" s="7"/>
      <c r="P159" s="7"/>
      <c r="Q159" s="7"/>
      <c r="R159" s="4"/>
    </row>
    <row r="160" spans="1:18" ht="29.1" hidden="1" outlineLevel="1">
      <c r="A160" s="4"/>
      <c r="B160" s="4"/>
      <c r="C160" s="7"/>
      <c r="D160" s="686" t="s">
        <v>1438</v>
      </c>
      <c r="E160" s="334" t="s">
        <v>1345</v>
      </c>
      <c r="F160" s="266" t="s">
        <v>1439</v>
      </c>
      <c r="G160" s="266" t="s">
        <v>1347</v>
      </c>
      <c r="H160" s="266" t="s">
        <v>1348</v>
      </c>
      <c r="I160" s="266" t="s">
        <v>1349</v>
      </c>
      <c r="J160" s="266" t="s">
        <v>1350</v>
      </c>
      <c r="K160" s="266" t="s">
        <v>1351</v>
      </c>
      <c r="L160" s="266" t="s">
        <v>1352</v>
      </c>
      <c r="M160" s="266" t="s">
        <v>1440</v>
      </c>
      <c r="N160" s="266" t="s">
        <v>1441</v>
      </c>
      <c r="O160" s="7"/>
      <c r="P160" s="7"/>
      <c r="Q160" s="7"/>
      <c r="R160" s="4"/>
    </row>
    <row r="161" spans="1:18" hidden="1" outlineLevel="1">
      <c r="A161" s="4"/>
      <c r="B161" s="4"/>
      <c r="C161" s="7"/>
      <c r="D161" s="687"/>
      <c r="E161" s="335" t="s">
        <v>1442</v>
      </c>
      <c r="F161" s="334">
        <f t="shared" ref="F161:N161" si="11">F182</f>
        <v>0.99680385782058267</v>
      </c>
      <c r="G161" s="336">
        <f t="shared" si="11"/>
        <v>0</v>
      </c>
      <c r="H161" s="336">
        <f t="shared" si="11"/>
        <v>0</v>
      </c>
      <c r="I161" s="336">
        <f t="shared" si="11"/>
        <v>0</v>
      </c>
      <c r="J161" s="336">
        <f t="shared" si="11"/>
        <v>0</v>
      </c>
      <c r="K161" s="336">
        <f t="shared" si="11"/>
        <v>0</v>
      </c>
      <c r="L161" s="336">
        <f t="shared" si="11"/>
        <v>0</v>
      </c>
      <c r="M161" s="334">
        <f t="shared" si="11"/>
        <v>2.3203124999999998E-2</v>
      </c>
      <c r="N161" s="334">
        <f t="shared" si="11"/>
        <v>1</v>
      </c>
      <c r="O161" s="7"/>
      <c r="P161" s="7"/>
      <c r="Q161" s="7"/>
      <c r="R161" s="4"/>
    </row>
    <row r="162" spans="1:18" hidden="1" outlineLevel="1">
      <c r="A162" s="4"/>
      <c r="B162" s="4"/>
      <c r="C162" s="7"/>
      <c r="D162" s="687"/>
      <c r="E162" s="337" t="s">
        <v>1443</v>
      </c>
      <c r="F162" s="338">
        <f t="shared" ref="F162:N162" si="12">F197</f>
        <v>0.99779168146346786</v>
      </c>
      <c r="G162" s="336">
        <f t="shared" si="12"/>
        <v>0</v>
      </c>
      <c r="H162" s="336">
        <f t="shared" si="12"/>
        <v>0</v>
      </c>
      <c r="I162" s="336">
        <f t="shared" si="12"/>
        <v>0</v>
      </c>
      <c r="J162" s="336">
        <f t="shared" si="12"/>
        <v>0</v>
      </c>
      <c r="K162" s="336">
        <f t="shared" si="12"/>
        <v>0</v>
      </c>
      <c r="L162" s="336">
        <f t="shared" si="12"/>
        <v>0</v>
      </c>
      <c r="M162" s="334">
        <f t="shared" si="12"/>
        <v>2.3203124999999998E-2</v>
      </c>
      <c r="N162" s="334">
        <f t="shared" si="12"/>
        <v>1</v>
      </c>
      <c r="O162" s="7"/>
      <c r="P162" s="7"/>
      <c r="Q162" s="7"/>
      <c r="R162" s="4"/>
    </row>
    <row r="163" spans="1:18" hidden="1" outlineLevel="1">
      <c r="A163" s="4"/>
      <c r="B163" s="4"/>
      <c r="C163" s="7"/>
      <c r="D163" s="688"/>
      <c r="E163" s="337" t="s">
        <v>1444</v>
      </c>
      <c r="F163" s="338">
        <f>F162-F161</f>
        <v>9.8782364288518831E-4</v>
      </c>
      <c r="G163" s="336">
        <f>G162-G161</f>
        <v>0</v>
      </c>
      <c r="H163" s="336">
        <f>H162-H161</f>
        <v>0</v>
      </c>
      <c r="I163" s="336">
        <f t="shared" ref="I163:N163" si="13">I162-I161</f>
        <v>0</v>
      </c>
      <c r="J163" s="336">
        <f t="shared" si="13"/>
        <v>0</v>
      </c>
      <c r="K163" s="336">
        <f t="shared" si="13"/>
        <v>0</v>
      </c>
      <c r="L163" s="336">
        <f t="shared" si="13"/>
        <v>0</v>
      </c>
      <c r="M163" s="334">
        <f t="shared" si="13"/>
        <v>0</v>
      </c>
      <c r="N163" s="334">
        <f t="shared" si="13"/>
        <v>0</v>
      </c>
      <c r="O163" s="7"/>
      <c r="P163" s="7"/>
      <c r="Q163" s="7"/>
      <c r="R163" s="4"/>
    </row>
    <row r="164" spans="1:18" hidden="1" outlineLevel="1">
      <c r="A164" s="4"/>
      <c r="B164" s="4"/>
      <c r="C164" s="7"/>
      <c r="D164" s="7"/>
      <c r="E164" s="7"/>
      <c r="F164" s="7"/>
      <c r="G164" s="7"/>
      <c r="H164" s="7"/>
      <c r="I164" s="7"/>
      <c r="J164" s="7"/>
      <c r="K164" s="7"/>
      <c r="L164" s="7"/>
      <c r="M164" s="7"/>
      <c r="N164" s="7"/>
      <c r="O164" s="7"/>
      <c r="P164" s="7"/>
      <c r="Q164" s="7"/>
      <c r="R164" s="4"/>
    </row>
    <row r="165" spans="1:18" hidden="1" outlineLevel="1">
      <c r="A165" s="4"/>
      <c r="B165" s="4"/>
      <c r="C165" s="7"/>
      <c r="D165" s="124" t="s">
        <v>1445</v>
      </c>
      <c r="E165" s="7"/>
      <c r="F165" s="7"/>
      <c r="G165" s="7"/>
      <c r="H165" s="7"/>
      <c r="I165" s="7"/>
      <c r="J165" s="7"/>
      <c r="K165" s="7"/>
      <c r="L165" s="7"/>
      <c r="M165" s="7"/>
      <c r="N165" s="7"/>
      <c r="O165" s="7"/>
      <c r="P165" s="7"/>
      <c r="Q165" s="7"/>
      <c r="R165" s="4"/>
    </row>
    <row r="166" spans="1:18" hidden="1" outlineLevel="1">
      <c r="A166" s="4"/>
      <c r="B166" s="4"/>
      <c r="C166" s="7"/>
      <c r="D166" s="125" t="s">
        <v>1446</v>
      </c>
      <c r="E166" s="7"/>
      <c r="F166" s="7"/>
      <c r="G166" s="7"/>
      <c r="H166" s="7"/>
      <c r="I166" s="7"/>
      <c r="J166" s="7"/>
      <c r="K166" s="7"/>
      <c r="L166" s="7"/>
      <c r="M166" s="7"/>
      <c r="N166" s="7"/>
      <c r="O166" s="7"/>
      <c r="P166" s="7"/>
      <c r="Q166" s="7"/>
      <c r="R166" s="4"/>
    </row>
    <row r="167" spans="1:18" hidden="1" outlineLevel="1">
      <c r="A167" s="4"/>
      <c r="B167" s="4"/>
      <c r="C167" s="7"/>
      <c r="D167" s="127" t="s">
        <v>1447</v>
      </c>
      <c r="E167" s="7"/>
      <c r="F167" s="7"/>
      <c r="G167" s="7"/>
      <c r="H167" s="7"/>
      <c r="I167" s="7"/>
      <c r="J167" s="7"/>
      <c r="K167" s="7"/>
      <c r="L167" s="7"/>
      <c r="M167" s="7"/>
      <c r="N167" s="7"/>
      <c r="O167" s="7"/>
      <c r="P167" s="7"/>
      <c r="Q167" s="7"/>
      <c r="R167" s="4"/>
    </row>
    <row r="168" spans="1:18" hidden="1" outlineLevel="1">
      <c r="A168" s="4"/>
      <c r="B168" s="4"/>
      <c r="C168" s="7"/>
      <c r="D168" s="126" t="s">
        <v>1448</v>
      </c>
      <c r="E168" s="7"/>
      <c r="F168" s="7"/>
      <c r="G168" s="7"/>
      <c r="H168" s="7"/>
      <c r="I168" s="7"/>
      <c r="J168" s="7"/>
      <c r="K168" s="7"/>
      <c r="L168" s="7"/>
      <c r="M168" s="7"/>
      <c r="N168" s="7"/>
      <c r="O168" s="7"/>
      <c r="P168" s="7"/>
      <c r="Q168" s="7"/>
      <c r="R168" s="4"/>
    </row>
    <row r="169" spans="1:18" hidden="1" outlineLevel="1">
      <c r="A169" s="4"/>
      <c r="B169" s="4"/>
      <c r="C169" s="7"/>
      <c r="D169" s="235"/>
      <c r="E169" s="7"/>
      <c r="F169" s="7"/>
      <c r="G169" s="7"/>
      <c r="H169" s="7"/>
      <c r="I169" s="7"/>
      <c r="J169" s="7"/>
      <c r="K169" s="7"/>
      <c r="L169" s="7"/>
      <c r="M169" s="7"/>
      <c r="N169" s="7"/>
      <c r="O169" s="7"/>
      <c r="P169" s="7"/>
      <c r="Q169" s="7"/>
      <c r="R169" s="4"/>
    </row>
    <row r="170" spans="1:18" hidden="1" outlineLevel="1">
      <c r="A170" s="4"/>
      <c r="B170" s="4"/>
      <c r="C170" s="4"/>
      <c r="D170" s="11"/>
      <c r="E170" s="11"/>
      <c r="F170" s="4"/>
      <c r="G170" s="4"/>
      <c r="H170" s="4"/>
      <c r="I170" s="4"/>
      <c r="J170" s="4"/>
      <c r="K170" s="4"/>
      <c r="L170" s="4"/>
      <c r="M170" s="4"/>
      <c r="N170" s="4"/>
      <c r="O170" s="4"/>
      <c r="P170" s="4"/>
      <c r="Q170" s="4"/>
      <c r="R170" s="4"/>
    </row>
    <row r="171" spans="1:18" ht="18.600000000000001" hidden="1" outlineLevel="1">
      <c r="A171" s="101"/>
      <c r="B171" s="101"/>
      <c r="C171" s="562" t="s">
        <v>1456</v>
      </c>
      <c r="D171" s="102"/>
      <c r="E171" s="101"/>
      <c r="F171" s="101"/>
      <c r="G171" s="101"/>
      <c r="H171" s="101"/>
      <c r="I171" s="101"/>
      <c r="J171" s="101"/>
      <c r="K171" s="101"/>
      <c r="L171" s="101"/>
      <c r="M171" s="101"/>
      <c r="N171" s="101"/>
      <c r="O171" s="101"/>
      <c r="P171" s="101"/>
      <c r="Q171" s="101"/>
      <c r="R171" s="4"/>
    </row>
    <row r="172" spans="1:18" hidden="1" outlineLevel="1">
      <c r="A172" s="4"/>
      <c r="B172" s="4"/>
      <c r="C172" s="4"/>
      <c r="D172" s="4"/>
      <c r="E172" s="4"/>
      <c r="F172" s="4"/>
      <c r="G172" s="4"/>
      <c r="H172" s="4"/>
      <c r="I172" s="4"/>
      <c r="J172" s="4"/>
      <c r="K172" s="4"/>
      <c r="L172" s="4"/>
      <c r="M172" s="4"/>
      <c r="N172" s="4"/>
      <c r="O172" s="4"/>
      <c r="P172" s="4"/>
      <c r="Q172" s="4"/>
      <c r="R172" s="4"/>
    </row>
    <row r="173" spans="1:18" hidden="1" outlineLevel="1">
      <c r="A173" s="4"/>
      <c r="B173" s="4"/>
      <c r="C173" s="7"/>
      <c r="D173" s="7"/>
      <c r="E173" s="7"/>
      <c r="F173" s="7"/>
      <c r="G173" s="7"/>
      <c r="H173" s="7"/>
      <c r="I173" s="7"/>
      <c r="J173" s="7"/>
      <c r="K173" s="7"/>
      <c r="L173" s="7"/>
      <c r="M173" s="7"/>
      <c r="N173" s="7"/>
      <c r="O173" s="7"/>
      <c r="P173" s="7"/>
      <c r="Q173" s="7"/>
      <c r="R173" s="4"/>
    </row>
    <row r="174" spans="1:18" ht="29.1" hidden="1" outlineLevel="1">
      <c r="A174" s="4"/>
      <c r="B174" s="4"/>
      <c r="C174" s="7"/>
      <c r="D174" s="18" t="s">
        <v>1450</v>
      </c>
      <c r="E174" s="18" t="s">
        <v>1116</v>
      </c>
      <c r="F174" s="18" t="s">
        <v>207</v>
      </c>
      <c r="G174" s="18" t="s">
        <v>1347</v>
      </c>
      <c r="H174" s="18" t="s">
        <v>1348</v>
      </c>
      <c r="I174" s="18" t="s">
        <v>1349</v>
      </c>
      <c r="J174" s="18" t="s">
        <v>1350</v>
      </c>
      <c r="K174" s="18" t="s">
        <v>1351</v>
      </c>
      <c r="L174" s="18" t="s">
        <v>1352</v>
      </c>
      <c r="M174" s="18" t="s">
        <v>1353</v>
      </c>
      <c r="N174" s="18" t="s">
        <v>1354</v>
      </c>
      <c r="O174" s="18" t="s">
        <v>1362</v>
      </c>
      <c r="P174" s="18" t="s">
        <v>1363</v>
      </c>
      <c r="Q174" s="54"/>
      <c r="R174" s="4"/>
    </row>
    <row r="175" spans="1:18" ht="16.5" hidden="1" outlineLevel="1">
      <c r="A175" s="4"/>
      <c r="B175" s="4"/>
      <c r="C175" s="7"/>
      <c r="D175" s="16" t="s">
        <v>1364</v>
      </c>
      <c r="E175" s="16" t="s">
        <v>1365</v>
      </c>
      <c r="F175" s="330">
        <v>0.99990000000000001</v>
      </c>
      <c r="G175" s="331">
        <f>(E154) - Table472590126[[#This Row],[SLA]]*(E154)</f>
        <v>0</v>
      </c>
      <c r="H175" s="331">
        <f>(24*E154) - Table472590126[[#This Row],[SLA]]*(24*E154)</f>
        <v>0</v>
      </c>
      <c r="I175" s="331">
        <f>Table472590126[[#This Row],[Downtime/Year (Hours)]]*60</f>
        <v>0</v>
      </c>
      <c r="J175" s="331">
        <f>Table472590126[[#This Row],[Downtime/Month (Hours)]]/24</f>
        <v>0</v>
      </c>
      <c r="K175" s="331">
        <f>Table472590126[[#This Row],[Downtime/Year (Hours)]]/12</f>
        <v>0</v>
      </c>
      <c r="L175" s="331">
        <f>Table472590126[[#This Row],[Downtime/Month (Hours)]]*60</f>
        <v>0</v>
      </c>
      <c r="M175" s="330">
        <v>0.5</v>
      </c>
      <c r="N175" s="330">
        <v>1</v>
      </c>
      <c r="O175" s="332">
        <v>0</v>
      </c>
      <c r="P175" s="332">
        <v>1</v>
      </c>
      <c r="Q175" s="129"/>
      <c r="R175" s="4"/>
    </row>
    <row r="176" spans="1:18" hidden="1" outlineLevel="1">
      <c r="A176" s="4"/>
      <c r="B176" s="4"/>
      <c r="C176" s="7"/>
      <c r="D176" s="16" t="s">
        <v>977</v>
      </c>
      <c r="E176" s="16" t="s">
        <v>1365</v>
      </c>
      <c r="F176" s="330">
        <v>1</v>
      </c>
      <c r="G176" s="331">
        <f>(E154) - Table472590126[[#This Row],[SLA]]*(E154)</f>
        <v>0</v>
      </c>
      <c r="H176" s="331">
        <f>(24*E154) - Table472590126[[#This Row],[SLA]]*(24*E154)</f>
        <v>0</v>
      </c>
      <c r="I176" s="331">
        <f>Table472590126[[#This Row],[Downtime/Year (Hours)]]*60</f>
        <v>0</v>
      </c>
      <c r="J176" s="331">
        <f>Table472590126[[#This Row],[Downtime/Month (Hours)]]/24</f>
        <v>0</v>
      </c>
      <c r="K176" s="331">
        <f>Table472590126[[#This Row],[Downtime/Year (Hours)]]/12</f>
        <v>0</v>
      </c>
      <c r="L176" s="331">
        <f>Table472590126[[#This Row],[Downtime/Month (Hours)]]*60</f>
        <v>0</v>
      </c>
      <c r="M176" s="330">
        <v>0.5</v>
      </c>
      <c r="N176" s="330">
        <v>1</v>
      </c>
      <c r="O176" s="332">
        <v>0</v>
      </c>
      <c r="P176" s="332">
        <v>1</v>
      </c>
      <c r="Q176" s="129"/>
      <c r="R176" s="4"/>
    </row>
    <row r="177" spans="1:18" hidden="1" outlineLevel="1">
      <c r="A177" s="4"/>
      <c r="B177" s="4"/>
      <c r="C177" s="7"/>
      <c r="D177" s="16" t="s">
        <v>975</v>
      </c>
      <c r="E177" s="16" t="s">
        <v>1365</v>
      </c>
      <c r="F177" s="330">
        <v>0.99950000000000006</v>
      </c>
      <c r="G177" s="331">
        <f>(E154) - Table472590126[[#This Row],[SLA]]*(E154)</f>
        <v>0</v>
      </c>
      <c r="H177" s="331">
        <f>(24*E154) - Table472590126[[#This Row],[SLA]]*(24*E154)</f>
        <v>0</v>
      </c>
      <c r="I177" s="331">
        <f>Table472590126[[#This Row],[Downtime/Year (Hours)]]*60</f>
        <v>0</v>
      </c>
      <c r="J177" s="331">
        <f>Table472590126[[#This Row],[Downtime/Month (Hours)]]/24</f>
        <v>0</v>
      </c>
      <c r="K177" s="331">
        <f>Table472590126[[#This Row],[Downtime/Year (Hours)]]/12</f>
        <v>0</v>
      </c>
      <c r="L177" s="331">
        <f>Table472590126[[#This Row],[Downtime/Month (Hours)]]*60</f>
        <v>0</v>
      </c>
      <c r="M177" s="330">
        <v>0.5</v>
      </c>
      <c r="N177" s="330">
        <v>1</v>
      </c>
      <c r="O177" s="332">
        <v>0</v>
      </c>
      <c r="P177" s="332">
        <v>1</v>
      </c>
      <c r="Q177" s="129"/>
      <c r="R177" s="4"/>
    </row>
    <row r="178" spans="1:18" hidden="1" outlineLevel="1">
      <c r="A178" s="4"/>
      <c r="B178" s="4"/>
      <c r="C178" s="7"/>
      <c r="D178" s="313" t="s">
        <v>981</v>
      </c>
      <c r="E178" s="16" t="s">
        <v>1365</v>
      </c>
      <c r="F178" s="330">
        <v>0.999</v>
      </c>
      <c r="G178" s="331">
        <f>(E154) - Table472590126[[#This Row],[SLA]]*(E154)</f>
        <v>0</v>
      </c>
      <c r="H178" s="331">
        <f>(24*E154) - Table472590126[[#This Row],[SLA]]*(24*E154)</f>
        <v>0</v>
      </c>
      <c r="I178" s="331">
        <f>Table472590126[[#This Row],[Downtime/Year (Hours)]]*60</f>
        <v>0</v>
      </c>
      <c r="J178" s="331">
        <f>Table472590126[[#This Row],[Downtime/Month (Hours)]]/24</f>
        <v>0</v>
      </c>
      <c r="K178" s="331">
        <f>Table472590126[[#This Row],[Downtime/Year (Hours)]]/12</f>
        <v>0</v>
      </c>
      <c r="L178" s="331">
        <f>Table472590126[[#This Row],[Downtime/Month (Hours)]]*60</f>
        <v>0</v>
      </c>
      <c r="M178" s="330">
        <v>0.5</v>
      </c>
      <c r="N178" s="330">
        <v>1</v>
      </c>
      <c r="O178" s="332">
        <v>0</v>
      </c>
      <c r="P178" s="332">
        <v>1</v>
      </c>
      <c r="Q178" s="129"/>
      <c r="R178" s="4"/>
    </row>
    <row r="179" spans="1:18" hidden="1" outlineLevel="1">
      <c r="A179" s="4"/>
      <c r="B179" s="4"/>
      <c r="C179" s="7"/>
      <c r="D179" s="16" t="s">
        <v>979</v>
      </c>
      <c r="E179" s="16" t="s">
        <v>1365</v>
      </c>
      <c r="F179" s="330">
        <v>0.99950000000000006</v>
      </c>
      <c r="G179" s="331">
        <f>(E154) - Table472590126[[#This Row],[SLA]]*(E154)</f>
        <v>0</v>
      </c>
      <c r="H179" s="331">
        <f>(24*E154) - Table472590126[[#This Row],[SLA]]*(24*E154)</f>
        <v>0</v>
      </c>
      <c r="I179" s="331">
        <f>Table472590126[[#This Row],[Downtime/Year (Hours)]]*60</f>
        <v>0</v>
      </c>
      <c r="J179" s="331">
        <f>Table472590126[[#This Row],[Downtime/Month (Hours)]]/24</f>
        <v>0</v>
      </c>
      <c r="K179" s="331">
        <f>Table472590126[[#This Row],[Downtime/Year (Hours)]]/12</f>
        <v>0</v>
      </c>
      <c r="L179" s="331">
        <f>Table472590126[[#This Row],[Downtime/Month (Hours)]]*60</f>
        <v>0</v>
      </c>
      <c r="M179" s="330">
        <v>0.75</v>
      </c>
      <c r="N179" s="330">
        <v>1</v>
      </c>
      <c r="O179" s="332">
        <v>0</v>
      </c>
      <c r="P179" s="332">
        <v>1</v>
      </c>
      <c r="Q179" s="129"/>
      <c r="R179" s="4"/>
    </row>
    <row r="180" spans="1:18" hidden="1" outlineLevel="1">
      <c r="A180" s="4"/>
      <c r="B180" s="4"/>
      <c r="C180" s="7"/>
      <c r="D180" s="16" t="s">
        <v>980</v>
      </c>
      <c r="E180" s="16" t="s">
        <v>1365</v>
      </c>
      <c r="F180" s="330">
        <v>0.999</v>
      </c>
      <c r="G180" s="331">
        <f>(E154) - Table472590126[[#This Row],[SLA]]*(E154)</f>
        <v>0</v>
      </c>
      <c r="H180" s="331">
        <f>(24*E154) - Table472590126[[#This Row],[SLA]]*(24*E154)</f>
        <v>0</v>
      </c>
      <c r="I180" s="331">
        <f>Table472590126[[#This Row],[Downtime/Year (Hours)]]*60</f>
        <v>0</v>
      </c>
      <c r="J180" s="331">
        <f>Table472590126[[#This Row],[Downtime/Month (Hours)]]/24</f>
        <v>0</v>
      </c>
      <c r="K180" s="331">
        <f>Table472590126[[#This Row],[Downtime/Year (Hours)]]/12</f>
        <v>0</v>
      </c>
      <c r="L180" s="331">
        <f>Table472590126[[#This Row],[Downtime/Month (Hours)]]*60</f>
        <v>0</v>
      </c>
      <c r="M180" s="330">
        <v>0.66</v>
      </c>
      <c r="N180" s="330">
        <v>1</v>
      </c>
      <c r="O180" s="332">
        <v>0</v>
      </c>
      <c r="P180" s="332">
        <v>1</v>
      </c>
      <c r="Q180" s="129"/>
      <c r="R180" s="4"/>
    </row>
    <row r="181" spans="1:18" hidden="1" outlineLevel="1">
      <c r="A181" s="4"/>
      <c r="B181" s="4"/>
      <c r="C181" s="7"/>
      <c r="D181" s="16" t="s">
        <v>982</v>
      </c>
      <c r="E181" s="16" t="s">
        <v>1365</v>
      </c>
      <c r="F181" s="330">
        <v>0.99990000000000001</v>
      </c>
      <c r="G181" s="331">
        <f>(E154) - Table472590126[[#This Row],[SLA]]*(E154)</f>
        <v>0</v>
      </c>
      <c r="H181" s="331">
        <f>(24*E154) - Table472590126[[#This Row],[SLA]]*(24*E154)</f>
        <v>0</v>
      </c>
      <c r="I181" s="331">
        <f>Table472590126[[#This Row],[Downtime/Year (Hours)]]*60</f>
        <v>0</v>
      </c>
      <c r="J181" s="331">
        <f>Table472590126[[#This Row],[Downtime/Month (Hours)]]/24</f>
        <v>0</v>
      </c>
      <c r="K181" s="331">
        <f>Table472590126[[#This Row],[Downtime/Year (Hours)]]/12</f>
        <v>0</v>
      </c>
      <c r="L181" s="331">
        <f>Table472590126[[#This Row],[Downtime/Month (Hours)]]*60</f>
        <v>0</v>
      </c>
      <c r="M181" s="330">
        <v>0.75</v>
      </c>
      <c r="N181" s="330">
        <v>1</v>
      </c>
      <c r="O181" s="332">
        <v>1</v>
      </c>
      <c r="P181" s="332">
        <v>8</v>
      </c>
      <c r="Q181" s="129"/>
      <c r="R181" s="4"/>
    </row>
    <row r="182" spans="1:18" hidden="1" outlineLevel="1">
      <c r="A182" s="4"/>
      <c r="B182" s="4"/>
      <c r="C182" s="7"/>
      <c r="D182" s="16" t="s">
        <v>1369</v>
      </c>
      <c r="E182" s="16"/>
      <c r="F182" s="330">
        <f>F175*F176*F177*F178*F179*F180*F181</f>
        <v>0.99680385782058267</v>
      </c>
      <c r="G182" s="331">
        <f>(E154) - Table472590126[[#This Row],[SLA]]*(E154)</f>
        <v>0</v>
      </c>
      <c r="H182" s="331">
        <f>(24*E154) - Table472590126[[#This Row],[SLA]]*(24*E154)</f>
        <v>0</v>
      </c>
      <c r="I182" s="331">
        <f>Table472590126[[#This Row],[Downtime/Year (Hours)]]*60</f>
        <v>0</v>
      </c>
      <c r="J182" s="331">
        <f>Table472590126[[#This Row],[Downtime/Month (Hours)]]/24</f>
        <v>0</v>
      </c>
      <c r="K182" s="331">
        <f>Table472590126[[#This Row],[Downtime/Year (Hours)]]/12</f>
        <v>0</v>
      </c>
      <c r="L182" s="331">
        <f>Table472590126[[#This Row],[Downtime/Month (Hours)]]*60</f>
        <v>0</v>
      </c>
      <c r="M182" s="330">
        <f>M175*M176*M177*M178*M179*M180*M181</f>
        <v>2.3203124999999998E-2</v>
      </c>
      <c r="N182" s="330">
        <f>N175*N176*N177*N178*N179*N180*N181</f>
        <v>1</v>
      </c>
      <c r="O182" s="332">
        <f>MAX(O175:O181)</f>
        <v>1</v>
      </c>
      <c r="P182" s="332">
        <f>MAX(P175:P181)</f>
        <v>8</v>
      </c>
      <c r="Q182" s="130"/>
      <c r="R182" s="4"/>
    </row>
    <row r="183" spans="1:18" hidden="1" outlineLevel="1">
      <c r="A183" s="4"/>
      <c r="B183" s="4"/>
      <c r="C183" s="7"/>
      <c r="D183" s="7"/>
      <c r="E183" s="7"/>
      <c r="F183" s="7"/>
      <c r="G183" s="7"/>
      <c r="H183" s="7"/>
      <c r="I183" s="7"/>
      <c r="J183" s="7"/>
      <c r="K183" s="7"/>
      <c r="L183" s="7"/>
      <c r="M183" s="7"/>
      <c r="N183" s="7"/>
      <c r="O183" s="7"/>
      <c r="P183" s="7"/>
      <c r="Q183" s="7"/>
      <c r="R183" s="4"/>
    </row>
    <row r="184" spans="1:18" hidden="1" outlineLevel="1">
      <c r="A184" s="4"/>
      <c r="B184" s="4"/>
      <c r="C184" s="4"/>
      <c r="D184" s="4"/>
      <c r="E184" s="4"/>
      <c r="F184" s="4"/>
      <c r="G184" s="4"/>
      <c r="H184" s="4"/>
      <c r="I184" s="4"/>
      <c r="J184" s="4"/>
      <c r="K184" s="4"/>
      <c r="L184" s="4"/>
      <c r="M184" s="4"/>
      <c r="N184" s="4"/>
      <c r="O184" s="4"/>
      <c r="P184" s="4"/>
      <c r="Q184" s="4"/>
      <c r="R184" s="4"/>
    </row>
    <row r="185" spans="1:18" ht="18.600000000000001" hidden="1" outlineLevel="1">
      <c r="A185" s="102"/>
      <c r="B185" s="102"/>
      <c r="C185" s="562" t="s">
        <v>1457</v>
      </c>
      <c r="D185" s="102"/>
      <c r="E185" s="102"/>
      <c r="F185" s="102"/>
      <c r="G185" s="102"/>
      <c r="H185" s="102"/>
      <c r="I185" s="102"/>
      <c r="J185" s="102"/>
      <c r="K185" s="102"/>
      <c r="L185" s="102"/>
      <c r="M185" s="102"/>
      <c r="N185" s="102"/>
      <c r="O185" s="102"/>
      <c r="P185" s="102"/>
      <c r="Q185" s="102"/>
      <c r="R185" s="4"/>
    </row>
    <row r="186" spans="1:18" ht="18.600000000000001" hidden="1" outlineLevel="1">
      <c r="A186" s="102"/>
      <c r="B186" s="102"/>
      <c r="C186" s="102"/>
      <c r="D186" s="102"/>
      <c r="E186" s="102"/>
      <c r="F186" s="102"/>
      <c r="G186" s="102"/>
      <c r="H186" s="102"/>
      <c r="I186" s="102"/>
      <c r="J186" s="102"/>
      <c r="K186" s="102"/>
      <c r="L186" s="102"/>
      <c r="M186" s="102"/>
      <c r="N186" s="102"/>
      <c r="O186" s="102"/>
      <c r="P186" s="102"/>
      <c r="Q186" s="102"/>
      <c r="R186" s="4"/>
    </row>
    <row r="187" spans="1:18" ht="18.600000000000001" hidden="1" outlineLevel="1">
      <c r="A187" s="102"/>
      <c r="B187" s="102"/>
      <c r="C187" s="131"/>
      <c r="D187" s="131"/>
      <c r="E187" s="131"/>
      <c r="F187" s="131"/>
      <c r="G187" s="131"/>
      <c r="H187" s="131"/>
      <c r="I187" s="131"/>
      <c r="J187" s="131"/>
      <c r="K187" s="131"/>
      <c r="L187" s="131"/>
      <c r="M187" s="131"/>
      <c r="N187" s="131"/>
      <c r="O187" s="131"/>
      <c r="P187" s="131"/>
      <c r="Q187" s="131"/>
      <c r="R187" s="4"/>
    </row>
    <row r="188" spans="1:18" ht="29.1" hidden="1" outlineLevel="1">
      <c r="A188" s="4"/>
      <c r="B188" s="4"/>
      <c r="C188" s="7"/>
      <c r="D188" s="18" t="s">
        <v>1450</v>
      </c>
      <c r="E188" s="18" t="s">
        <v>1116</v>
      </c>
      <c r="F188" s="18" t="s">
        <v>207</v>
      </c>
      <c r="G188" s="18" t="s">
        <v>1347</v>
      </c>
      <c r="H188" s="18" t="s">
        <v>1348</v>
      </c>
      <c r="I188" s="18" t="s">
        <v>1349</v>
      </c>
      <c r="J188" s="18" t="s">
        <v>1350</v>
      </c>
      <c r="K188" s="18" t="s">
        <v>1351</v>
      </c>
      <c r="L188" s="18" t="s">
        <v>1352</v>
      </c>
      <c r="M188" s="18" t="s">
        <v>1353</v>
      </c>
      <c r="N188" s="18" t="s">
        <v>1354</v>
      </c>
      <c r="O188" s="18" t="s">
        <v>1362</v>
      </c>
      <c r="P188" s="18" t="s">
        <v>1363</v>
      </c>
      <c r="Q188" s="54"/>
      <c r="R188" s="4"/>
    </row>
    <row r="189" spans="1:18" ht="16.5" hidden="1" outlineLevel="1">
      <c r="A189" s="4"/>
      <c r="B189" s="4"/>
      <c r="C189" s="7"/>
      <c r="D189" s="16" t="s">
        <v>1364</v>
      </c>
      <c r="E189" s="16" t="s">
        <v>1365</v>
      </c>
      <c r="F189" s="330">
        <v>0.99990000000000001</v>
      </c>
      <c r="G189" s="331">
        <f>(E154) - Table47258588115[[#This Row],[SLA]]*(E154)</f>
        <v>0</v>
      </c>
      <c r="H189" s="331">
        <f>(24*E154) - Table47258588115[[#This Row],[SLA]]*(24*E154)</f>
        <v>0</v>
      </c>
      <c r="I189" s="331">
        <f>Table47258588115[[#This Row],[Downtime/Year (Hours)]]*60</f>
        <v>0</v>
      </c>
      <c r="J189" s="331">
        <f>Table47258588115[[#This Row],[Downtime/Month (Hours)]]/24</f>
        <v>0</v>
      </c>
      <c r="K189" s="331">
        <f>Table47258588115[[#This Row],[Downtime/Year (Hours)]]/12</f>
        <v>0</v>
      </c>
      <c r="L189" s="331">
        <f>Table47258588115[[#This Row],[Downtime/Month (Hours)]]*60</f>
        <v>0</v>
      </c>
      <c r="M189" s="330">
        <v>0.5</v>
      </c>
      <c r="N189" s="330">
        <v>1</v>
      </c>
      <c r="O189" s="332">
        <v>0</v>
      </c>
      <c r="P189" s="332">
        <v>1</v>
      </c>
      <c r="Q189" s="129"/>
      <c r="R189" s="4"/>
    </row>
    <row r="190" spans="1:18" hidden="1" outlineLevel="1">
      <c r="A190" s="4"/>
      <c r="B190" s="4"/>
      <c r="C190" s="7"/>
      <c r="D190" s="16" t="s">
        <v>977</v>
      </c>
      <c r="E190" s="16" t="s">
        <v>1365</v>
      </c>
      <c r="F190" s="330">
        <v>1</v>
      </c>
      <c r="G190" s="331">
        <f>(E154) - Table47258588115[[#This Row],[SLA]]*(E154)</f>
        <v>0</v>
      </c>
      <c r="H190" s="331">
        <f>(24*E154) - Table47258588115[[#This Row],[SLA]]*(24*E154)</f>
        <v>0</v>
      </c>
      <c r="I190" s="331">
        <f>Table47258588115[[#This Row],[Downtime/Year (Hours)]]*60</f>
        <v>0</v>
      </c>
      <c r="J190" s="331">
        <f>Table47258588115[[#This Row],[Downtime/Month (Hours)]]/24</f>
        <v>0</v>
      </c>
      <c r="K190" s="331">
        <f>Table47258588115[[#This Row],[Downtime/Year (Hours)]]/12</f>
        <v>0</v>
      </c>
      <c r="L190" s="331">
        <f>Table47258588115[[#This Row],[Downtime/Month (Hours)]]*60</f>
        <v>0</v>
      </c>
      <c r="M190" s="330">
        <v>0.5</v>
      </c>
      <c r="N190" s="330">
        <v>1</v>
      </c>
      <c r="O190" s="332">
        <v>0</v>
      </c>
      <c r="P190" s="332">
        <v>1</v>
      </c>
      <c r="Q190" s="129"/>
      <c r="R190" s="4"/>
    </row>
    <row r="191" spans="1:18" hidden="1" outlineLevel="1">
      <c r="A191" s="4"/>
      <c r="B191" s="4"/>
      <c r="C191" s="7"/>
      <c r="D191" s="333" t="s">
        <v>978</v>
      </c>
      <c r="E191" s="16" t="s">
        <v>1365</v>
      </c>
      <c r="F191" s="330">
        <v>0.99990000000000001</v>
      </c>
      <c r="G191" s="331">
        <f>(E154) - Table47258588115[[#This Row],[SLA]]*(E154)</f>
        <v>0</v>
      </c>
      <c r="H191" s="331">
        <f>(24*E154) - Table47258588115[[#This Row],[SLA]]*(24*E154)</f>
        <v>0</v>
      </c>
      <c r="I191" s="331">
        <f>Table47258588115[[#This Row],[Downtime/Year (Hours)]]*60</f>
        <v>0</v>
      </c>
      <c r="J191" s="331">
        <f>Table47258588115[[#This Row],[Downtime/Month (Hours)]]/24</f>
        <v>0</v>
      </c>
      <c r="K191" s="331">
        <f>Table47258588115[[#This Row],[Downtime/Year (Hours)]]/12</f>
        <v>0</v>
      </c>
      <c r="L191" s="331">
        <f>Table47258588115[[#This Row],[Downtime/Month (Hours)]]*60</f>
        <v>0</v>
      </c>
      <c r="M191" s="330">
        <v>1</v>
      </c>
      <c r="N191" s="330">
        <v>1</v>
      </c>
      <c r="O191" s="332">
        <v>0</v>
      </c>
      <c r="P191" s="332">
        <v>1</v>
      </c>
      <c r="Q191" s="132"/>
      <c r="R191" s="4"/>
    </row>
    <row r="192" spans="1:18" hidden="1" outlineLevel="1">
      <c r="A192" s="4"/>
      <c r="B192" s="4"/>
      <c r="C192" s="7"/>
      <c r="D192" s="16" t="s">
        <v>975</v>
      </c>
      <c r="E192" s="16" t="s">
        <v>1365</v>
      </c>
      <c r="F192" s="330">
        <v>0.99950000000000006</v>
      </c>
      <c r="G192" s="331">
        <f>(E154) - Table47258588115[[#This Row],[SLA]]*(E154)</f>
        <v>0</v>
      </c>
      <c r="H192" s="331">
        <f>(24*E154) - Table47258588115[[#This Row],[SLA]]*(24*E154)</f>
        <v>0</v>
      </c>
      <c r="I192" s="331">
        <f>Table47258588115[[#This Row],[Downtime/Year (Hours)]]*60</f>
        <v>0</v>
      </c>
      <c r="J192" s="331">
        <f>Table47258588115[[#This Row],[Downtime/Month (Hours)]]/24</f>
        <v>0</v>
      </c>
      <c r="K192" s="331">
        <f>Table47258588115[[#This Row],[Downtime/Year (Hours)]]/12</f>
        <v>0</v>
      </c>
      <c r="L192" s="331">
        <f>Table47258588115[[#This Row],[Downtime/Month (Hours)]]*60</f>
        <v>0</v>
      </c>
      <c r="M192" s="330">
        <v>0.5</v>
      </c>
      <c r="N192" s="330">
        <v>1</v>
      </c>
      <c r="O192" s="332">
        <v>0</v>
      </c>
      <c r="P192" s="332">
        <v>1</v>
      </c>
      <c r="Q192" s="132"/>
      <c r="R192" s="4"/>
    </row>
    <row r="193" spans="1:18" hidden="1" outlineLevel="1">
      <c r="A193" s="4"/>
      <c r="B193" s="4"/>
      <c r="C193" s="7"/>
      <c r="D193" s="313" t="s">
        <v>981</v>
      </c>
      <c r="E193" s="16" t="s">
        <v>1365</v>
      </c>
      <c r="F193" s="330">
        <v>0.999</v>
      </c>
      <c r="G193" s="331">
        <f>(E154) - Table47258588115[[#This Row],[SLA]]*(E154)</f>
        <v>0</v>
      </c>
      <c r="H193" s="331">
        <f>(24*E154) - Table47258588115[[#This Row],[SLA]]*(24*E154)</f>
        <v>0</v>
      </c>
      <c r="I193" s="331">
        <f>Table47258588115[[#This Row],[Downtime/Year (Hours)]]*60</f>
        <v>0</v>
      </c>
      <c r="J193" s="331">
        <f>Table47258588115[[#This Row],[Downtime/Month (Hours)]]/24</f>
        <v>0</v>
      </c>
      <c r="K193" s="331">
        <f>Table47258588115[[#This Row],[Downtime/Year (Hours)]]/12</f>
        <v>0</v>
      </c>
      <c r="L193" s="331">
        <f>Table47258588115[[#This Row],[Downtime/Month (Hours)]]*60</f>
        <v>0</v>
      </c>
      <c r="M193" s="330">
        <v>0.5</v>
      </c>
      <c r="N193" s="330">
        <v>1</v>
      </c>
      <c r="O193" s="332">
        <v>0</v>
      </c>
      <c r="P193" s="332">
        <v>1</v>
      </c>
      <c r="Q193" s="132"/>
      <c r="R193" s="4"/>
    </row>
    <row r="194" spans="1:18" hidden="1" outlineLevel="1">
      <c r="A194" s="4"/>
      <c r="B194" s="4"/>
      <c r="C194" s="7"/>
      <c r="D194" s="16" t="s">
        <v>979</v>
      </c>
      <c r="E194" s="16" t="s">
        <v>1365</v>
      </c>
      <c r="F194" s="330">
        <v>0.99950000000000006</v>
      </c>
      <c r="G194" s="331">
        <f>(E154) - Table47258588115[[#This Row],[SLA]]*(E154)</f>
        <v>0</v>
      </c>
      <c r="H194" s="331">
        <f>(24*E154) - Table47258588115[[#This Row],[SLA]]*(24*E154)</f>
        <v>0</v>
      </c>
      <c r="I194" s="331">
        <f>Table47258588115[[#This Row],[Downtime/Year (Hours)]]*60</f>
        <v>0</v>
      </c>
      <c r="J194" s="331">
        <f>Table47258588115[[#This Row],[Downtime/Month (Hours)]]/24</f>
        <v>0</v>
      </c>
      <c r="K194" s="331">
        <f>Table47258588115[[#This Row],[Downtime/Year (Hours)]]/12</f>
        <v>0</v>
      </c>
      <c r="L194" s="331">
        <f>Table47258588115[[#This Row],[Downtime/Month (Hours)]]*60</f>
        <v>0</v>
      </c>
      <c r="M194" s="330">
        <v>0.75</v>
      </c>
      <c r="N194" s="330">
        <v>1</v>
      </c>
      <c r="O194" s="332">
        <v>0</v>
      </c>
      <c r="P194" s="332">
        <v>1</v>
      </c>
      <c r="Q194" s="132"/>
      <c r="R194" s="4"/>
    </row>
    <row r="195" spans="1:18" hidden="1" outlineLevel="1">
      <c r="A195" s="4"/>
      <c r="B195" s="4"/>
      <c r="C195" s="7"/>
      <c r="D195" s="16" t="s">
        <v>980</v>
      </c>
      <c r="E195" s="16" t="s">
        <v>1365</v>
      </c>
      <c r="F195" s="330">
        <v>0.99999000000000005</v>
      </c>
      <c r="G195" s="331">
        <f>(E154) - Table47258588115[[#This Row],[SLA]]*(E154)</f>
        <v>0</v>
      </c>
      <c r="H195" s="331">
        <f>(24*E154) - Table47258588115[[#This Row],[SLA]]*(24*E154)</f>
        <v>0</v>
      </c>
      <c r="I195" s="331">
        <f>Table47258588115[[#This Row],[Downtime/Year (Hours)]]*60</f>
        <v>0</v>
      </c>
      <c r="J195" s="331">
        <f>Table47258588115[[#This Row],[Downtime/Month (Hours)]]/24</f>
        <v>0</v>
      </c>
      <c r="K195" s="331">
        <f>Table47258588115[[#This Row],[Downtime/Year (Hours)]]/12</f>
        <v>0</v>
      </c>
      <c r="L195" s="331">
        <f>Table47258588115[[#This Row],[Downtime/Month (Hours)]]*60</f>
        <v>0</v>
      </c>
      <c r="M195" s="330">
        <v>0.66</v>
      </c>
      <c r="N195" s="330">
        <v>1</v>
      </c>
      <c r="O195" s="332">
        <v>1</v>
      </c>
      <c r="P195" s="332">
        <v>8</v>
      </c>
      <c r="Q195" s="129"/>
      <c r="R195" s="4"/>
    </row>
    <row r="196" spans="1:18" hidden="1" outlineLevel="1">
      <c r="A196" s="4"/>
      <c r="B196" s="4"/>
      <c r="C196" s="7"/>
      <c r="D196" s="16" t="s">
        <v>982</v>
      </c>
      <c r="E196" s="16" t="s">
        <v>1365</v>
      </c>
      <c r="F196" s="330">
        <v>1</v>
      </c>
      <c r="G196" s="331">
        <f>(E154) - Table47258588115[[#This Row],[SLA]]*(E154)</f>
        <v>0</v>
      </c>
      <c r="H196" s="331">
        <f>(24*E154) - Table47258588115[[#This Row],[SLA]]*(24*E154)</f>
        <v>0</v>
      </c>
      <c r="I196" s="331">
        <f>Table47258588115[[#This Row],[Downtime/Year (Hours)]]*60</f>
        <v>0</v>
      </c>
      <c r="J196" s="331">
        <f>Table47258588115[[#This Row],[Downtime/Month (Hours)]]/24</f>
        <v>0</v>
      </c>
      <c r="K196" s="331">
        <f>Table47258588115[[#This Row],[Downtime/Year (Hours)]]/12</f>
        <v>0</v>
      </c>
      <c r="L196" s="331">
        <f>Table47258588115[[#This Row],[Downtime/Month (Hours)]]*60</f>
        <v>0</v>
      </c>
      <c r="M196" s="330">
        <v>0.75</v>
      </c>
      <c r="N196" s="330">
        <v>1</v>
      </c>
      <c r="O196" s="332">
        <v>1</v>
      </c>
      <c r="P196" s="332">
        <v>8</v>
      </c>
      <c r="Q196" s="129"/>
      <c r="R196" s="4"/>
    </row>
    <row r="197" spans="1:18" hidden="1" outlineLevel="1">
      <c r="A197" s="4"/>
      <c r="B197" s="4"/>
      <c r="C197" s="7"/>
      <c r="D197" s="16" t="s">
        <v>1369</v>
      </c>
      <c r="E197" s="16"/>
      <c r="F197" s="330">
        <f>F189*F190*F191*F192*F193*F194*F195*F196</f>
        <v>0.99779168146346786</v>
      </c>
      <c r="G197" s="331">
        <f>(E154) - Table47258588115[[#This Row],[SLA]]*(E154)</f>
        <v>0</v>
      </c>
      <c r="H197" s="331">
        <f>(24*E154) - Table47258588115[[#This Row],[SLA]]*(24*E154)</f>
        <v>0</v>
      </c>
      <c r="I197" s="331">
        <f>Table47258588115[[#This Row],[Downtime/Year (Hours)]]*60</f>
        <v>0</v>
      </c>
      <c r="J197" s="331">
        <f>Table47258588115[[#This Row],[Downtime/Month (Hours)]]/24</f>
        <v>0</v>
      </c>
      <c r="K197" s="331">
        <f>Table47258588115[[#This Row],[Downtime/Year (Hours)]]/12</f>
        <v>0</v>
      </c>
      <c r="L197" s="331">
        <f>Table47258588115[[#This Row],[Downtime/Month (Hours)]]*60</f>
        <v>0</v>
      </c>
      <c r="M197" s="330">
        <f>M189*M190*M191*M192*M193*M194*M195*M196</f>
        <v>2.3203124999999998E-2</v>
      </c>
      <c r="N197" s="330">
        <f>N189*N190*N191*N192*N193*N194*N195*N196</f>
        <v>1</v>
      </c>
      <c r="O197" s="332">
        <f>MAX(O189:O196)</f>
        <v>1</v>
      </c>
      <c r="P197" s="332">
        <f>MAX(P189:P196)</f>
        <v>8</v>
      </c>
      <c r="Q197" s="130"/>
      <c r="R197" s="4"/>
    </row>
    <row r="198" spans="1:18" hidden="1" outlineLevel="1">
      <c r="A198" s="4"/>
      <c r="B198" s="4"/>
      <c r="C198" s="7"/>
      <c r="D198" s="7"/>
      <c r="E198" s="7"/>
      <c r="F198" s="7"/>
      <c r="G198" s="7"/>
      <c r="H198" s="7"/>
      <c r="I198" s="7"/>
      <c r="J198" s="7"/>
      <c r="K198" s="7"/>
      <c r="L198" s="7"/>
      <c r="M198" s="7"/>
      <c r="N198" s="7"/>
      <c r="O198" s="7"/>
      <c r="P198" s="7"/>
      <c r="Q198" s="7"/>
      <c r="R198" s="4"/>
    </row>
    <row r="199" spans="1:18" collapsed="1">
      <c r="A199" s="4"/>
      <c r="B199" s="4"/>
      <c r="C199" s="4"/>
      <c r="D199" s="4"/>
      <c r="E199" s="4"/>
      <c r="F199" s="4"/>
      <c r="G199" s="4"/>
      <c r="H199" s="4"/>
      <c r="I199" s="4"/>
      <c r="J199" s="4"/>
      <c r="K199" s="4"/>
      <c r="L199" s="4"/>
      <c r="M199" s="4"/>
      <c r="N199" s="4"/>
      <c r="O199" s="4"/>
      <c r="P199" s="4"/>
      <c r="Q199" s="4"/>
      <c r="R199" s="4"/>
    </row>
    <row r="200" spans="1:18" ht="18.600000000000001">
      <c r="A200" s="4"/>
      <c r="B200" s="4"/>
      <c r="C200" s="102" t="s">
        <v>1373</v>
      </c>
      <c r="D200" s="102"/>
      <c r="E200" s="102"/>
      <c r="F200" s="102"/>
      <c r="G200" s="102"/>
      <c r="H200" s="102"/>
      <c r="I200" s="102"/>
      <c r="J200" s="102"/>
      <c r="K200" s="102"/>
      <c r="L200" s="102"/>
      <c r="M200" s="102"/>
      <c r="N200" s="102"/>
      <c r="O200" s="102"/>
      <c r="P200" s="102"/>
      <c r="Q200" s="102"/>
      <c r="R200" s="4"/>
    </row>
    <row r="201" spans="1:18" hidden="1" outlineLevel="1">
      <c r="A201" s="4"/>
      <c r="B201" s="4"/>
      <c r="C201" s="4"/>
      <c r="D201" s="4"/>
      <c r="E201" s="4"/>
      <c r="F201" s="4"/>
      <c r="G201" s="4"/>
      <c r="H201" s="4"/>
      <c r="I201" s="4"/>
      <c r="J201" s="4"/>
      <c r="K201" s="4"/>
      <c r="L201" s="4"/>
      <c r="M201" s="4"/>
      <c r="N201" s="4"/>
      <c r="O201" s="4"/>
      <c r="P201" s="4"/>
      <c r="Q201" s="4"/>
      <c r="R201" s="4"/>
    </row>
    <row r="202" spans="1:18" hidden="1" outlineLevel="1">
      <c r="A202" s="4"/>
      <c r="B202" s="4"/>
      <c r="C202" s="7"/>
      <c r="D202" s="7"/>
      <c r="E202" s="7"/>
      <c r="F202" s="7"/>
      <c r="G202" s="7"/>
      <c r="H202" s="7"/>
      <c r="I202" s="7"/>
      <c r="J202" s="7"/>
      <c r="K202" s="7"/>
      <c r="L202" s="7"/>
      <c r="M202" s="7"/>
      <c r="N202" s="7"/>
      <c r="O202" s="7"/>
      <c r="P202" s="7"/>
      <c r="Q202" s="7"/>
      <c r="R202" s="4"/>
    </row>
    <row r="203" spans="1:18" ht="29.1" hidden="1" outlineLevel="1">
      <c r="A203" s="4"/>
      <c r="B203" s="4"/>
      <c r="C203" s="7"/>
      <c r="D203" s="686" t="s">
        <v>1438</v>
      </c>
      <c r="E203" s="334" t="s">
        <v>1345</v>
      </c>
      <c r="F203" s="266" t="s">
        <v>1439</v>
      </c>
      <c r="G203" s="266" t="s">
        <v>1347</v>
      </c>
      <c r="H203" s="266" t="s">
        <v>1348</v>
      </c>
      <c r="I203" s="266" t="s">
        <v>1349</v>
      </c>
      <c r="J203" s="266" t="s">
        <v>1350</v>
      </c>
      <c r="K203" s="266" t="s">
        <v>1351</v>
      </c>
      <c r="L203" s="266" t="s">
        <v>1352</v>
      </c>
      <c r="M203" s="266" t="s">
        <v>1440</v>
      </c>
      <c r="N203" s="266" t="s">
        <v>1441</v>
      </c>
      <c r="O203" s="7"/>
      <c r="P203" s="7"/>
      <c r="Q203" s="7"/>
      <c r="R203" s="4"/>
    </row>
    <row r="204" spans="1:18" hidden="1" outlineLevel="1">
      <c r="A204" s="4"/>
      <c r="B204" s="4"/>
      <c r="C204" s="7"/>
      <c r="D204" s="687"/>
      <c r="E204" s="335" t="s">
        <v>1442</v>
      </c>
      <c r="F204" s="334">
        <f t="shared" ref="F204:N204" si="14">F226</f>
        <v>0.99630545589167241</v>
      </c>
      <c r="G204" s="336">
        <f t="shared" si="14"/>
        <v>0</v>
      </c>
      <c r="H204" s="336">
        <f t="shared" si="14"/>
        <v>0</v>
      </c>
      <c r="I204" s="336">
        <f t="shared" si="14"/>
        <v>0</v>
      </c>
      <c r="J204" s="336">
        <f t="shared" si="14"/>
        <v>0</v>
      </c>
      <c r="K204" s="336">
        <f t="shared" si="14"/>
        <v>0</v>
      </c>
      <c r="L204" s="336">
        <f t="shared" si="14"/>
        <v>0</v>
      </c>
      <c r="M204" s="334">
        <f t="shared" si="14"/>
        <v>1.53140625E-2</v>
      </c>
      <c r="N204" s="334">
        <f t="shared" si="14"/>
        <v>1</v>
      </c>
      <c r="O204" s="7"/>
      <c r="P204" s="7"/>
      <c r="Q204" s="7"/>
      <c r="R204" s="4"/>
    </row>
    <row r="205" spans="1:18" hidden="1" outlineLevel="1">
      <c r="A205" s="4"/>
      <c r="B205" s="4"/>
      <c r="C205" s="7"/>
      <c r="D205" s="687"/>
      <c r="E205" s="337" t="s">
        <v>1443</v>
      </c>
      <c r="F205" s="338">
        <f t="shared" ref="F205:N205" si="15">F242</f>
        <v>0.9977817035466533</v>
      </c>
      <c r="G205" s="336">
        <f t="shared" si="15"/>
        <v>0</v>
      </c>
      <c r="H205" s="336">
        <f t="shared" si="15"/>
        <v>0</v>
      </c>
      <c r="I205" s="336">
        <f t="shared" si="15"/>
        <v>0</v>
      </c>
      <c r="J205" s="336">
        <f t="shared" si="15"/>
        <v>0</v>
      </c>
      <c r="K205" s="336">
        <f t="shared" si="15"/>
        <v>0</v>
      </c>
      <c r="L205" s="336">
        <f t="shared" si="15"/>
        <v>0</v>
      </c>
      <c r="M205" s="334">
        <f t="shared" si="15"/>
        <v>1.53140625E-2</v>
      </c>
      <c r="N205" s="334">
        <f t="shared" si="15"/>
        <v>1</v>
      </c>
      <c r="O205" s="7"/>
      <c r="P205" s="7"/>
      <c r="Q205" s="7"/>
      <c r="R205" s="4"/>
    </row>
    <row r="206" spans="1:18" hidden="1" outlineLevel="1">
      <c r="A206" s="4"/>
      <c r="B206" s="4"/>
      <c r="C206" s="7"/>
      <c r="D206" s="688"/>
      <c r="E206" s="337" t="s">
        <v>1444</v>
      </c>
      <c r="F206" s="338">
        <f>F205-F204</f>
        <v>1.4762476549808889E-3</v>
      </c>
      <c r="G206" s="336">
        <f>G205-G204</f>
        <v>0</v>
      </c>
      <c r="H206" s="336">
        <f>H205-H204</f>
        <v>0</v>
      </c>
      <c r="I206" s="336">
        <f t="shared" ref="I206:N206" si="16">I205-I204</f>
        <v>0</v>
      </c>
      <c r="J206" s="336">
        <f t="shared" si="16"/>
        <v>0</v>
      </c>
      <c r="K206" s="336">
        <f t="shared" si="16"/>
        <v>0</v>
      </c>
      <c r="L206" s="336">
        <f t="shared" si="16"/>
        <v>0</v>
      </c>
      <c r="M206" s="334">
        <f t="shared" si="16"/>
        <v>0</v>
      </c>
      <c r="N206" s="334">
        <f t="shared" si="16"/>
        <v>0</v>
      </c>
      <c r="O206" s="7"/>
      <c r="P206" s="7"/>
      <c r="Q206" s="7"/>
      <c r="R206" s="4"/>
    </row>
    <row r="207" spans="1:18" hidden="1" outlineLevel="1">
      <c r="A207" s="4"/>
      <c r="B207" s="4"/>
      <c r="C207" s="7"/>
      <c r="D207" s="7"/>
      <c r="E207" s="7"/>
      <c r="F207" s="7"/>
      <c r="G207" s="7"/>
      <c r="H207" s="7"/>
      <c r="I207" s="7"/>
      <c r="J207" s="7"/>
      <c r="K207" s="7"/>
      <c r="L207" s="7"/>
      <c r="M207" s="7"/>
      <c r="N207" s="7"/>
      <c r="O207" s="7"/>
      <c r="P207" s="7"/>
      <c r="Q207" s="7"/>
      <c r="R207" s="4"/>
    </row>
    <row r="208" spans="1:18" hidden="1" outlineLevel="1">
      <c r="A208" s="4"/>
      <c r="B208" s="4"/>
      <c r="C208" s="7"/>
      <c r="D208" s="124" t="s">
        <v>1445</v>
      </c>
      <c r="E208" s="7"/>
      <c r="F208" s="7"/>
      <c r="G208" s="7"/>
      <c r="H208" s="7"/>
      <c r="I208" s="7"/>
      <c r="J208" s="7"/>
      <c r="K208" s="7"/>
      <c r="L208" s="7"/>
      <c r="M208" s="7"/>
      <c r="N208" s="7"/>
      <c r="O208" s="7"/>
      <c r="P208" s="7"/>
      <c r="Q208" s="7"/>
      <c r="R208" s="4"/>
    </row>
    <row r="209" spans="1:18" hidden="1" outlineLevel="1">
      <c r="A209" s="4"/>
      <c r="B209" s="4"/>
      <c r="C209" s="7"/>
      <c r="D209" s="125" t="s">
        <v>1446</v>
      </c>
      <c r="E209" s="7"/>
      <c r="F209" s="7"/>
      <c r="G209" s="7"/>
      <c r="H209" s="7"/>
      <c r="I209" s="7"/>
      <c r="J209" s="7"/>
      <c r="K209" s="7"/>
      <c r="L209" s="7"/>
      <c r="M209" s="7"/>
      <c r="N209" s="7"/>
      <c r="O209" s="7"/>
      <c r="P209" s="7"/>
      <c r="Q209" s="7"/>
      <c r="R209" s="4"/>
    </row>
    <row r="210" spans="1:18" hidden="1" outlineLevel="1">
      <c r="A210" s="4"/>
      <c r="B210" s="4"/>
      <c r="C210" s="7"/>
      <c r="D210" s="127" t="s">
        <v>1447</v>
      </c>
      <c r="E210" s="7"/>
      <c r="F210" s="7"/>
      <c r="G210" s="7"/>
      <c r="H210" s="7"/>
      <c r="I210" s="7"/>
      <c r="J210" s="7"/>
      <c r="K210" s="7"/>
      <c r="L210" s="7"/>
      <c r="M210" s="7"/>
      <c r="N210" s="7"/>
      <c r="O210" s="7"/>
      <c r="P210" s="7"/>
      <c r="Q210" s="7"/>
      <c r="R210" s="4"/>
    </row>
    <row r="211" spans="1:18" hidden="1" outlineLevel="1">
      <c r="A211" s="4"/>
      <c r="B211" s="4"/>
      <c r="C211" s="7"/>
      <c r="D211" s="126" t="s">
        <v>1448</v>
      </c>
      <c r="E211" s="7"/>
      <c r="F211" s="7"/>
      <c r="G211" s="7"/>
      <c r="H211" s="7"/>
      <c r="I211" s="7"/>
      <c r="J211" s="7"/>
      <c r="K211" s="7"/>
      <c r="L211" s="7"/>
      <c r="M211" s="7"/>
      <c r="N211" s="7"/>
      <c r="O211" s="7"/>
      <c r="P211" s="7"/>
      <c r="Q211" s="7"/>
      <c r="R211" s="4"/>
    </row>
    <row r="212" spans="1:18" hidden="1" outlineLevel="1">
      <c r="A212" s="4"/>
      <c r="B212" s="4"/>
      <c r="C212" s="7"/>
      <c r="D212" s="235"/>
      <c r="E212" s="7"/>
      <c r="F212" s="7"/>
      <c r="G212" s="7"/>
      <c r="H212" s="7"/>
      <c r="I212" s="7"/>
      <c r="J212" s="7"/>
      <c r="K212" s="7"/>
      <c r="L212" s="7"/>
      <c r="M212" s="7"/>
      <c r="N212" s="7"/>
      <c r="O212" s="7"/>
      <c r="P212" s="7"/>
      <c r="Q212" s="7"/>
      <c r="R212" s="4"/>
    </row>
    <row r="213" spans="1:18" hidden="1" outlineLevel="1">
      <c r="A213" s="4"/>
      <c r="B213" s="4"/>
      <c r="C213" s="4"/>
      <c r="D213" s="11"/>
      <c r="E213" s="11"/>
      <c r="F213" s="4"/>
      <c r="G213" s="4"/>
      <c r="H213" s="4"/>
      <c r="I213" s="4"/>
      <c r="J213" s="4"/>
      <c r="K213" s="4"/>
      <c r="L213" s="4"/>
      <c r="M213" s="4"/>
      <c r="N213" s="4"/>
      <c r="O213" s="4"/>
      <c r="P213" s="4"/>
      <c r="Q213" s="4"/>
      <c r="R213" s="4"/>
    </row>
    <row r="214" spans="1:18" ht="18.600000000000001" hidden="1" outlineLevel="1">
      <c r="A214" s="101"/>
      <c r="B214" s="101"/>
      <c r="C214" s="562" t="s">
        <v>1458</v>
      </c>
      <c r="D214" s="102"/>
      <c r="E214" s="101"/>
      <c r="F214" s="101"/>
      <c r="G214" s="101"/>
      <c r="H214" s="101"/>
      <c r="I214" s="101"/>
      <c r="J214" s="101"/>
      <c r="K214" s="101"/>
      <c r="L214" s="101"/>
      <c r="M214" s="101"/>
      <c r="N214" s="101"/>
      <c r="O214" s="101"/>
      <c r="P214" s="101"/>
      <c r="Q214" s="101"/>
      <c r="R214" s="4"/>
    </row>
    <row r="215" spans="1:18" hidden="1" outlineLevel="1">
      <c r="A215" s="4"/>
      <c r="B215" s="4"/>
      <c r="C215" s="4"/>
      <c r="D215" s="4"/>
      <c r="E215" s="4"/>
      <c r="F215" s="4"/>
      <c r="G215" s="4"/>
      <c r="H215" s="4"/>
      <c r="I215" s="4"/>
      <c r="J215" s="4"/>
      <c r="K215" s="4"/>
      <c r="L215" s="4"/>
      <c r="M215" s="4"/>
      <c r="N215" s="4"/>
      <c r="O215" s="4"/>
      <c r="P215" s="4"/>
      <c r="Q215" s="4"/>
      <c r="R215" s="4"/>
    </row>
    <row r="216" spans="1:18" hidden="1" outlineLevel="1">
      <c r="A216" s="4"/>
      <c r="B216" s="4"/>
      <c r="C216" s="7"/>
      <c r="D216" s="7"/>
      <c r="E216" s="7"/>
      <c r="F216" s="7"/>
      <c r="G216" s="7"/>
      <c r="H216" s="7"/>
      <c r="I216" s="7"/>
      <c r="J216" s="7"/>
      <c r="K216" s="7"/>
      <c r="L216" s="7"/>
      <c r="M216" s="7"/>
      <c r="N216" s="7"/>
      <c r="O216" s="7"/>
      <c r="P216" s="7"/>
      <c r="Q216" s="7"/>
      <c r="R216" s="4"/>
    </row>
    <row r="217" spans="1:18" ht="29.1" hidden="1" outlineLevel="1">
      <c r="A217" s="4"/>
      <c r="B217" s="4"/>
      <c r="C217" s="7"/>
      <c r="D217" s="18" t="s">
        <v>1450</v>
      </c>
      <c r="E217" s="18" t="s">
        <v>1116</v>
      </c>
      <c r="F217" s="18" t="s">
        <v>207</v>
      </c>
      <c r="G217" s="18" t="s">
        <v>1347</v>
      </c>
      <c r="H217" s="18" t="s">
        <v>1348</v>
      </c>
      <c r="I217" s="18" t="s">
        <v>1349</v>
      </c>
      <c r="J217" s="18" t="s">
        <v>1350</v>
      </c>
      <c r="K217" s="18" t="s">
        <v>1351</v>
      </c>
      <c r="L217" s="18" t="s">
        <v>1352</v>
      </c>
      <c r="M217" s="18" t="s">
        <v>1353</v>
      </c>
      <c r="N217" s="18" t="s">
        <v>1354</v>
      </c>
      <c r="O217" s="18" t="s">
        <v>1362</v>
      </c>
      <c r="P217" s="18" t="s">
        <v>1363</v>
      </c>
      <c r="Q217" s="54"/>
      <c r="R217" s="4"/>
    </row>
    <row r="218" spans="1:18" ht="16.5" hidden="1" outlineLevel="1">
      <c r="A218" s="4"/>
      <c r="B218" s="4"/>
      <c r="C218" s="7"/>
      <c r="D218" s="16" t="s">
        <v>1364</v>
      </c>
      <c r="E218" s="16" t="s">
        <v>1365</v>
      </c>
      <c r="F218" s="330">
        <v>0.99990000000000001</v>
      </c>
      <c r="G218" s="331">
        <f>(E197) - Table472590129[[#This Row],[SLA]]*(E197)</f>
        <v>0</v>
      </c>
      <c r="H218" s="331">
        <f>(24*E197) - Table472590129[[#This Row],[SLA]]*(24*E197)</f>
        <v>0</v>
      </c>
      <c r="I218" s="331">
        <f>Table472590129[[#This Row],[Downtime/Year (Hours)]]*60</f>
        <v>0</v>
      </c>
      <c r="J218" s="331">
        <f>Table472590129[[#This Row],[Downtime/Month (Hours)]]/24</f>
        <v>0</v>
      </c>
      <c r="K218" s="331">
        <f>Table472590129[[#This Row],[Downtime/Year (Hours)]]/12</f>
        <v>0</v>
      </c>
      <c r="L218" s="331">
        <f>Table472590129[[#This Row],[Downtime/Month (Hours)]]*60</f>
        <v>0</v>
      </c>
      <c r="M218" s="330">
        <v>0.5</v>
      </c>
      <c r="N218" s="330">
        <v>1</v>
      </c>
      <c r="O218" s="332">
        <v>0</v>
      </c>
      <c r="P218" s="332">
        <v>1</v>
      </c>
      <c r="Q218" s="129"/>
      <c r="R218" s="4"/>
    </row>
    <row r="219" spans="1:18" hidden="1" outlineLevel="1">
      <c r="A219" s="4"/>
      <c r="B219" s="4"/>
      <c r="C219" s="7"/>
      <c r="D219" s="16" t="s">
        <v>977</v>
      </c>
      <c r="E219" s="16" t="s">
        <v>1365</v>
      </c>
      <c r="F219" s="330">
        <v>1</v>
      </c>
      <c r="G219" s="331">
        <f>(E197) - Table472590129[[#This Row],[SLA]]*(E197)</f>
        <v>0</v>
      </c>
      <c r="H219" s="331">
        <f>(24*E197) - Table472590129[[#This Row],[SLA]]*(24*E197)</f>
        <v>0</v>
      </c>
      <c r="I219" s="331">
        <f>Table472590129[[#This Row],[Downtime/Year (Hours)]]*60</f>
        <v>0</v>
      </c>
      <c r="J219" s="331">
        <f>Table472590129[[#This Row],[Downtime/Month (Hours)]]/24</f>
        <v>0</v>
      </c>
      <c r="K219" s="331">
        <f>Table472590129[[#This Row],[Downtime/Year (Hours)]]/12</f>
        <v>0</v>
      </c>
      <c r="L219" s="331">
        <f>Table472590129[[#This Row],[Downtime/Month (Hours)]]*60</f>
        <v>0</v>
      </c>
      <c r="M219" s="330">
        <v>0.5</v>
      </c>
      <c r="N219" s="330">
        <v>1</v>
      </c>
      <c r="O219" s="332">
        <v>0</v>
      </c>
      <c r="P219" s="332">
        <v>1</v>
      </c>
      <c r="Q219" s="129"/>
      <c r="R219" s="4"/>
    </row>
    <row r="220" spans="1:18" hidden="1" outlineLevel="1">
      <c r="A220" s="4"/>
      <c r="B220" s="4"/>
      <c r="C220" s="7"/>
      <c r="D220" s="16" t="s">
        <v>975</v>
      </c>
      <c r="E220" s="16" t="s">
        <v>1365</v>
      </c>
      <c r="F220" s="330">
        <v>0.99950000000000006</v>
      </c>
      <c r="G220" s="331">
        <f>(E197) - Table472590129[[#This Row],[SLA]]*(E197)</f>
        <v>0</v>
      </c>
      <c r="H220" s="331">
        <f>(24*E197) - Table472590129[[#This Row],[SLA]]*(24*E197)</f>
        <v>0</v>
      </c>
      <c r="I220" s="331">
        <f>Table472590129[[#This Row],[Downtime/Year (Hours)]]*60</f>
        <v>0</v>
      </c>
      <c r="J220" s="331">
        <f>Table472590129[[#This Row],[Downtime/Month (Hours)]]/24</f>
        <v>0</v>
      </c>
      <c r="K220" s="331">
        <f>Table472590129[[#This Row],[Downtime/Year (Hours)]]/12</f>
        <v>0</v>
      </c>
      <c r="L220" s="331">
        <f>Table472590129[[#This Row],[Downtime/Month (Hours)]]*60</f>
        <v>0</v>
      </c>
      <c r="M220" s="330">
        <v>0.5</v>
      </c>
      <c r="N220" s="330">
        <v>1</v>
      </c>
      <c r="O220" s="332">
        <v>0</v>
      </c>
      <c r="P220" s="332">
        <v>1</v>
      </c>
      <c r="Q220" s="129"/>
      <c r="R220" s="4"/>
    </row>
    <row r="221" spans="1:18" hidden="1" outlineLevel="1">
      <c r="A221" s="4"/>
      <c r="B221" s="4"/>
      <c r="C221" s="7"/>
      <c r="D221" s="313" t="s">
        <v>981</v>
      </c>
      <c r="E221" s="16" t="s">
        <v>1365</v>
      </c>
      <c r="F221" s="330">
        <v>0.999</v>
      </c>
      <c r="G221" s="331">
        <f>(E197) - Table472590129[[#This Row],[SLA]]*(E197)</f>
        <v>0</v>
      </c>
      <c r="H221" s="331">
        <f>(24*E197) - Table472590129[[#This Row],[SLA]]*(24*E197)</f>
        <v>0</v>
      </c>
      <c r="I221" s="331">
        <f>Table472590129[[#This Row],[Downtime/Year (Hours)]]*60</f>
        <v>0</v>
      </c>
      <c r="J221" s="331">
        <f>Table472590129[[#This Row],[Downtime/Month (Hours)]]/24</f>
        <v>0</v>
      </c>
      <c r="K221" s="331">
        <f>Table472590129[[#This Row],[Downtime/Year (Hours)]]/12</f>
        <v>0</v>
      </c>
      <c r="L221" s="331">
        <f>Table472590129[[#This Row],[Downtime/Month (Hours)]]*60</f>
        <v>0</v>
      </c>
      <c r="M221" s="330">
        <v>0.5</v>
      </c>
      <c r="N221" s="330">
        <v>1</v>
      </c>
      <c r="O221" s="332">
        <v>0</v>
      </c>
      <c r="P221" s="332">
        <v>1</v>
      </c>
      <c r="Q221" s="129"/>
      <c r="R221" s="4"/>
    </row>
    <row r="222" spans="1:18" hidden="1" outlineLevel="1">
      <c r="A222" s="4"/>
      <c r="B222" s="4"/>
      <c r="C222" s="7"/>
      <c r="D222" s="16" t="s">
        <v>979</v>
      </c>
      <c r="E222" s="16" t="s">
        <v>1365</v>
      </c>
      <c r="F222" s="330">
        <v>0.99950000000000006</v>
      </c>
      <c r="G222" s="331">
        <f>(E197) - Table472590129[[#This Row],[SLA]]*(E197)</f>
        <v>0</v>
      </c>
      <c r="H222" s="331">
        <f>(24*E197) - Table472590129[[#This Row],[SLA]]*(24*E197)</f>
        <v>0</v>
      </c>
      <c r="I222" s="331">
        <f>Table472590129[[#This Row],[Downtime/Year (Hours)]]*60</f>
        <v>0</v>
      </c>
      <c r="J222" s="331">
        <f>Table472590129[[#This Row],[Downtime/Month (Hours)]]/24</f>
        <v>0</v>
      </c>
      <c r="K222" s="331">
        <f>Table472590129[[#This Row],[Downtime/Year (Hours)]]/12</f>
        <v>0</v>
      </c>
      <c r="L222" s="331">
        <f>Table472590129[[#This Row],[Downtime/Month (Hours)]]*60</f>
        <v>0</v>
      </c>
      <c r="M222" s="330">
        <v>0.75</v>
      </c>
      <c r="N222" s="330">
        <v>1</v>
      </c>
      <c r="O222" s="332">
        <v>0</v>
      </c>
      <c r="P222" s="332">
        <v>1</v>
      </c>
      <c r="Q222" s="129"/>
      <c r="R222" s="4"/>
    </row>
    <row r="223" spans="1:18" hidden="1" outlineLevel="1">
      <c r="A223" s="4"/>
      <c r="B223" s="4"/>
      <c r="C223" s="7"/>
      <c r="D223" s="16" t="s">
        <v>980</v>
      </c>
      <c r="E223" s="16" t="s">
        <v>1365</v>
      </c>
      <c r="F223" s="330">
        <v>0.999</v>
      </c>
      <c r="G223" s="331">
        <f>(E197) - Table472590129[[#This Row],[SLA]]*(E197)</f>
        <v>0</v>
      </c>
      <c r="H223" s="331">
        <f>(24*E197) - Table472590129[[#This Row],[SLA]]*(24*E197)</f>
        <v>0</v>
      </c>
      <c r="I223" s="331">
        <f>Table472590129[[#This Row],[Downtime/Year (Hours)]]*60</f>
        <v>0</v>
      </c>
      <c r="J223" s="331">
        <f>Table472590129[[#This Row],[Downtime/Month (Hours)]]/24</f>
        <v>0</v>
      </c>
      <c r="K223" s="331">
        <f>Table472590129[[#This Row],[Downtime/Year (Hours)]]/12</f>
        <v>0</v>
      </c>
      <c r="L223" s="331">
        <f>Table472590129[[#This Row],[Downtime/Month (Hours)]]*60</f>
        <v>0</v>
      </c>
      <c r="M223" s="330">
        <v>0.66</v>
      </c>
      <c r="N223" s="330">
        <v>1</v>
      </c>
      <c r="O223" s="332">
        <v>0</v>
      </c>
      <c r="P223" s="332">
        <v>1</v>
      </c>
      <c r="Q223" s="129"/>
      <c r="R223" s="4"/>
    </row>
    <row r="224" spans="1:18" hidden="1" outlineLevel="1">
      <c r="A224" s="4"/>
      <c r="B224" s="4"/>
      <c r="C224" s="7"/>
      <c r="D224" s="16" t="s">
        <v>982</v>
      </c>
      <c r="E224" s="16" t="s">
        <v>1365</v>
      </c>
      <c r="F224" s="330">
        <v>0.99990000000000001</v>
      </c>
      <c r="G224" s="331">
        <f>(E197) - Table472590129[[#This Row],[SLA]]*(E197)</f>
        <v>0</v>
      </c>
      <c r="H224" s="331">
        <f>(24*E197) - Table472590129[[#This Row],[SLA]]*(24*E197)</f>
        <v>0</v>
      </c>
      <c r="I224" s="331">
        <f>Table472590129[[#This Row],[Downtime/Year (Hours)]]*60</f>
        <v>0</v>
      </c>
      <c r="J224" s="331">
        <f>Table472590129[[#This Row],[Downtime/Month (Hours)]]/24</f>
        <v>0</v>
      </c>
      <c r="K224" s="331">
        <f>Table472590129[[#This Row],[Downtime/Year (Hours)]]/12</f>
        <v>0</v>
      </c>
      <c r="L224" s="331">
        <f>Table472590129[[#This Row],[Downtime/Month (Hours)]]*60</f>
        <v>0</v>
      </c>
      <c r="M224" s="330">
        <v>0.75</v>
      </c>
      <c r="N224" s="330">
        <v>1</v>
      </c>
      <c r="O224" s="332">
        <v>1</v>
      </c>
      <c r="P224" s="332">
        <v>8</v>
      </c>
      <c r="Q224" s="129"/>
      <c r="R224" s="4"/>
    </row>
    <row r="225" spans="1:18" hidden="1" outlineLevel="1">
      <c r="A225" s="4"/>
      <c r="B225" s="4"/>
      <c r="C225" s="7"/>
      <c r="D225" s="16" t="s">
        <v>983</v>
      </c>
      <c r="E225" s="16" t="s">
        <v>1365</v>
      </c>
      <c r="F225" s="330">
        <v>0.99950000000000006</v>
      </c>
      <c r="G225" s="331">
        <f>(E197) - Table472590129[[#This Row],[SLA]]*(E197)</f>
        <v>0</v>
      </c>
      <c r="H225" s="331">
        <f>(24*E197) - Table472590129[[#This Row],[SLA]]*(24*E197)</f>
        <v>0</v>
      </c>
      <c r="I225" s="331">
        <f>Table472590129[[#This Row],[Downtime/Year (Hours)]]*60</f>
        <v>0</v>
      </c>
      <c r="J225" s="331">
        <f>Table472590129[[#This Row],[Downtime/Month (Hours)]]/24</f>
        <v>0</v>
      </c>
      <c r="K225" s="331">
        <f>Table472590129[[#This Row],[Downtime/Year (Hours)]]/12</f>
        <v>0</v>
      </c>
      <c r="L225" s="331">
        <f>Table472590129[[#This Row],[Downtime/Month (Hours)]]*60</f>
        <v>0</v>
      </c>
      <c r="M225" s="330">
        <v>0.66</v>
      </c>
      <c r="N225" s="330">
        <v>1</v>
      </c>
      <c r="O225" s="332">
        <v>1</v>
      </c>
      <c r="P225" s="332">
        <v>8</v>
      </c>
      <c r="Q225" s="129"/>
      <c r="R225" s="4"/>
    </row>
    <row r="226" spans="1:18" hidden="1" outlineLevel="1">
      <c r="A226" s="4"/>
      <c r="B226" s="4"/>
      <c r="C226" s="7"/>
      <c r="D226" s="16" t="s">
        <v>1369</v>
      </c>
      <c r="E226" s="16"/>
      <c r="F226" s="330">
        <f>F218*F219*F220*F221*F222*F223*F224*F225</f>
        <v>0.99630545589167241</v>
      </c>
      <c r="G226" s="331">
        <f>(E197) - Table472590129[[#This Row],[SLA]]*(E197)</f>
        <v>0</v>
      </c>
      <c r="H226" s="331">
        <f>(24*E197) - Table472590129[[#This Row],[SLA]]*(24*E197)</f>
        <v>0</v>
      </c>
      <c r="I226" s="331">
        <f>Table472590129[[#This Row],[Downtime/Year (Hours)]]*60</f>
        <v>0</v>
      </c>
      <c r="J226" s="331">
        <f>Table472590129[[#This Row],[Downtime/Month (Hours)]]/24</f>
        <v>0</v>
      </c>
      <c r="K226" s="331">
        <f>Table472590129[[#This Row],[Downtime/Year (Hours)]]/12</f>
        <v>0</v>
      </c>
      <c r="L226" s="331">
        <f>Table472590129[[#This Row],[Downtime/Month (Hours)]]*60</f>
        <v>0</v>
      </c>
      <c r="M226" s="330">
        <f>M218*M219*M220*M221*M222*M223*M224*M225</f>
        <v>1.53140625E-2</v>
      </c>
      <c r="N226" s="330">
        <f>N218*N219*N220*N221*N222*N223*N224*N225</f>
        <v>1</v>
      </c>
      <c r="O226" s="332">
        <f>MAX(O218:O225)</f>
        <v>1</v>
      </c>
      <c r="P226" s="332">
        <f>MAX(P218:P225)</f>
        <v>8</v>
      </c>
      <c r="Q226" s="130"/>
      <c r="R226" s="4"/>
    </row>
    <row r="227" spans="1:18" hidden="1" outlineLevel="1">
      <c r="A227" s="4"/>
      <c r="B227" s="4"/>
      <c r="C227" s="7"/>
      <c r="D227" s="7"/>
      <c r="E227" s="7"/>
      <c r="F227" s="7"/>
      <c r="G227" s="7"/>
      <c r="H227" s="7"/>
      <c r="I227" s="7"/>
      <c r="J227" s="7"/>
      <c r="K227" s="7"/>
      <c r="L227" s="7"/>
      <c r="M227" s="7"/>
      <c r="N227" s="7"/>
      <c r="O227" s="7"/>
      <c r="P227" s="7"/>
      <c r="Q227" s="7"/>
      <c r="R227" s="4"/>
    </row>
    <row r="228" spans="1:18" hidden="1" outlineLevel="1">
      <c r="A228" s="4"/>
      <c r="B228" s="4"/>
      <c r="C228" s="4"/>
      <c r="D228" s="4"/>
      <c r="E228" s="4"/>
      <c r="F228" s="4"/>
      <c r="G228" s="4"/>
      <c r="H228" s="4"/>
      <c r="I228" s="4"/>
      <c r="J228" s="4"/>
      <c r="K228" s="4"/>
      <c r="L228" s="4"/>
      <c r="M228" s="4"/>
      <c r="N228" s="4"/>
      <c r="O228" s="4"/>
      <c r="P228" s="4"/>
      <c r="Q228" s="4"/>
      <c r="R228" s="4"/>
    </row>
    <row r="229" spans="1:18" ht="18.600000000000001" hidden="1" outlineLevel="1">
      <c r="A229" s="102"/>
      <c r="B229" s="102"/>
      <c r="C229" s="562" t="s">
        <v>1459</v>
      </c>
      <c r="D229" s="102"/>
      <c r="E229" s="102"/>
      <c r="F229" s="102"/>
      <c r="G229" s="102"/>
      <c r="H229" s="102"/>
      <c r="I229" s="102"/>
      <c r="J229" s="102"/>
      <c r="K229" s="102"/>
      <c r="L229" s="102"/>
      <c r="M229" s="102"/>
      <c r="N229" s="102"/>
      <c r="O229" s="102"/>
      <c r="P229" s="102"/>
      <c r="Q229" s="102"/>
      <c r="R229" s="4"/>
    </row>
    <row r="230" spans="1:18" ht="18.600000000000001" hidden="1" outlineLevel="1">
      <c r="A230" s="102"/>
      <c r="B230" s="102"/>
      <c r="C230" s="102"/>
      <c r="D230" s="102"/>
      <c r="E230" s="102"/>
      <c r="F230" s="102"/>
      <c r="G230" s="102"/>
      <c r="H230" s="102"/>
      <c r="I230" s="102"/>
      <c r="J230" s="102"/>
      <c r="K230" s="102"/>
      <c r="L230" s="102"/>
      <c r="M230" s="102"/>
      <c r="N230" s="102"/>
      <c r="O230" s="102"/>
      <c r="P230" s="102"/>
      <c r="Q230" s="102"/>
      <c r="R230" s="4"/>
    </row>
    <row r="231" spans="1:18" ht="18.600000000000001" hidden="1" outlineLevel="1">
      <c r="A231" s="102"/>
      <c r="B231" s="102"/>
      <c r="C231" s="131"/>
      <c r="D231" s="131"/>
      <c r="E231" s="131"/>
      <c r="F231" s="131"/>
      <c r="G231" s="131"/>
      <c r="H231" s="131"/>
      <c r="I231" s="131"/>
      <c r="J231" s="131"/>
      <c r="K231" s="131"/>
      <c r="L231" s="131"/>
      <c r="M231" s="131"/>
      <c r="N231" s="131"/>
      <c r="O231" s="131"/>
      <c r="P231" s="131"/>
      <c r="Q231" s="131"/>
      <c r="R231" s="4"/>
    </row>
    <row r="232" spans="1:18" ht="29.1" hidden="1" outlineLevel="1">
      <c r="A232" s="4"/>
      <c r="B232" s="4"/>
      <c r="C232" s="7"/>
      <c r="D232" s="18" t="s">
        <v>1450</v>
      </c>
      <c r="E232" s="18" t="s">
        <v>1116</v>
      </c>
      <c r="F232" s="18" t="s">
        <v>207</v>
      </c>
      <c r="G232" s="18" t="s">
        <v>1347</v>
      </c>
      <c r="H232" s="18" t="s">
        <v>1348</v>
      </c>
      <c r="I232" s="18" t="s">
        <v>1349</v>
      </c>
      <c r="J232" s="18" t="s">
        <v>1350</v>
      </c>
      <c r="K232" s="18" t="s">
        <v>1351</v>
      </c>
      <c r="L232" s="18" t="s">
        <v>1352</v>
      </c>
      <c r="M232" s="18" t="s">
        <v>1353</v>
      </c>
      <c r="N232" s="18" t="s">
        <v>1354</v>
      </c>
      <c r="O232" s="18" t="s">
        <v>1362</v>
      </c>
      <c r="P232" s="18" t="s">
        <v>1363</v>
      </c>
      <c r="Q232" s="54"/>
      <c r="R232" s="4"/>
    </row>
    <row r="233" spans="1:18" ht="16.5" hidden="1" outlineLevel="1">
      <c r="A233" s="4"/>
      <c r="B233" s="4"/>
      <c r="C233" s="7"/>
      <c r="D233" s="16" t="s">
        <v>1364</v>
      </c>
      <c r="E233" s="16" t="s">
        <v>1365</v>
      </c>
      <c r="F233" s="330">
        <v>0.99990000000000001</v>
      </c>
      <c r="G233" s="331">
        <f>(E197) - Table47258588127[[#This Row],[SLA]]*(E197)</f>
        <v>0</v>
      </c>
      <c r="H233" s="331">
        <f>(24*E197) - Table47258588127[[#This Row],[SLA]]*(24*E197)</f>
        <v>0</v>
      </c>
      <c r="I233" s="331">
        <f>Table47258588127[[#This Row],[Downtime/Year (Hours)]]*60</f>
        <v>0</v>
      </c>
      <c r="J233" s="331">
        <f>Table47258588127[[#This Row],[Downtime/Month (Hours)]]/24</f>
        <v>0</v>
      </c>
      <c r="K233" s="331">
        <f>Table47258588127[[#This Row],[Downtime/Year (Hours)]]/12</f>
        <v>0</v>
      </c>
      <c r="L233" s="331">
        <f>Table47258588127[[#This Row],[Downtime/Month (Hours)]]*60</f>
        <v>0</v>
      </c>
      <c r="M233" s="330">
        <v>0.5</v>
      </c>
      <c r="N233" s="330">
        <v>1</v>
      </c>
      <c r="O233" s="332">
        <v>0</v>
      </c>
      <c r="P233" s="332">
        <v>1</v>
      </c>
      <c r="Q233" s="129"/>
      <c r="R233" s="4"/>
    </row>
    <row r="234" spans="1:18" hidden="1" outlineLevel="1">
      <c r="A234" s="4"/>
      <c r="B234" s="4"/>
      <c r="C234" s="7"/>
      <c r="D234" s="16" t="s">
        <v>977</v>
      </c>
      <c r="E234" s="16" t="s">
        <v>1365</v>
      </c>
      <c r="F234" s="330">
        <v>1</v>
      </c>
      <c r="G234" s="331">
        <f>(E197) - Table47258588127[[#This Row],[SLA]]*(E197)</f>
        <v>0</v>
      </c>
      <c r="H234" s="331">
        <f>(24*E197) - Table47258588127[[#This Row],[SLA]]*(24*E197)</f>
        <v>0</v>
      </c>
      <c r="I234" s="331">
        <f>Table47258588127[[#This Row],[Downtime/Year (Hours)]]*60</f>
        <v>0</v>
      </c>
      <c r="J234" s="331">
        <f>Table47258588127[[#This Row],[Downtime/Month (Hours)]]/24</f>
        <v>0</v>
      </c>
      <c r="K234" s="331">
        <f>Table47258588127[[#This Row],[Downtime/Year (Hours)]]/12</f>
        <v>0</v>
      </c>
      <c r="L234" s="331">
        <f>Table47258588127[[#This Row],[Downtime/Month (Hours)]]*60</f>
        <v>0</v>
      </c>
      <c r="M234" s="330">
        <v>0.5</v>
      </c>
      <c r="N234" s="330">
        <v>1</v>
      </c>
      <c r="O234" s="332">
        <v>0</v>
      </c>
      <c r="P234" s="332">
        <v>1</v>
      </c>
      <c r="Q234" s="129"/>
      <c r="R234" s="4"/>
    </row>
    <row r="235" spans="1:18" hidden="1" outlineLevel="1">
      <c r="A235" s="4"/>
      <c r="B235" s="4"/>
      <c r="C235" s="7"/>
      <c r="D235" s="333" t="s">
        <v>978</v>
      </c>
      <c r="E235" s="16" t="s">
        <v>1365</v>
      </c>
      <c r="F235" s="330">
        <v>0.99990000000000001</v>
      </c>
      <c r="G235" s="331">
        <f>(E197) - Table47258588127[[#This Row],[SLA]]*(E197)</f>
        <v>0</v>
      </c>
      <c r="H235" s="331">
        <f>(24*E197) - Table47258588127[[#This Row],[SLA]]*(24*E197)</f>
        <v>0</v>
      </c>
      <c r="I235" s="331">
        <f>Table47258588127[[#This Row],[Downtime/Year (Hours)]]*60</f>
        <v>0</v>
      </c>
      <c r="J235" s="331">
        <f>Table47258588127[[#This Row],[Downtime/Month (Hours)]]/24</f>
        <v>0</v>
      </c>
      <c r="K235" s="331">
        <f>Table47258588127[[#This Row],[Downtime/Year (Hours)]]/12</f>
        <v>0</v>
      </c>
      <c r="L235" s="331">
        <f>Table47258588127[[#This Row],[Downtime/Month (Hours)]]*60</f>
        <v>0</v>
      </c>
      <c r="M235" s="330">
        <v>1</v>
      </c>
      <c r="N235" s="330">
        <v>1</v>
      </c>
      <c r="O235" s="332">
        <v>0</v>
      </c>
      <c r="P235" s="332">
        <v>1</v>
      </c>
      <c r="Q235" s="132"/>
      <c r="R235" s="4"/>
    </row>
    <row r="236" spans="1:18" hidden="1" outlineLevel="1">
      <c r="A236" s="4"/>
      <c r="B236" s="4"/>
      <c r="C236" s="7"/>
      <c r="D236" s="16" t="s">
        <v>975</v>
      </c>
      <c r="E236" s="16" t="s">
        <v>1365</v>
      </c>
      <c r="F236" s="330">
        <v>0.99950000000000006</v>
      </c>
      <c r="G236" s="331">
        <f>(E197) - Table47258588127[[#This Row],[SLA]]*(E197)</f>
        <v>0</v>
      </c>
      <c r="H236" s="331">
        <f>(24*E197) - Table47258588127[[#This Row],[SLA]]*(24*E197)</f>
        <v>0</v>
      </c>
      <c r="I236" s="331">
        <f>Table47258588127[[#This Row],[Downtime/Year (Hours)]]*60</f>
        <v>0</v>
      </c>
      <c r="J236" s="331">
        <f>Table47258588127[[#This Row],[Downtime/Month (Hours)]]/24</f>
        <v>0</v>
      </c>
      <c r="K236" s="331">
        <f>Table47258588127[[#This Row],[Downtime/Year (Hours)]]/12</f>
        <v>0</v>
      </c>
      <c r="L236" s="331">
        <f>Table47258588127[[#This Row],[Downtime/Month (Hours)]]*60</f>
        <v>0</v>
      </c>
      <c r="M236" s="330">
        <v>0.5</v>
      </c>
      <c r="N236" s="330">
        <v>1</v>
      </c>
      <c r="O236" s="332">
        <v>0</v>
      </c>
      <c r="P236" s="332">
        <v>1</v>
      </c>
      <c r="Q236" s="132"/>
      <c r="R236" s="4"/>
    </row>
    <row r="237" spans="1:18" hidden="1" outlineLevel="1">
      <c r="A237" s="4"/>
      <c r="B237" s="4"/>
      <c r="C237" s="7"/>
      <c r="D237" s="313" t="s">
        <v>981</v>
      </c>
      <c r="E237" s="16" t="s">
        <v>1365</v>
      </c>
      <c r="F237" s="330">
        <v>0.999</v>
      </c>
      <c r="G237" s="331">
        <f>(E197) - Table47258588127[[#This Row],[SLA]]*(E197)</f>
        <v>0</v>
      </c>
      <c r="H237" s="331">
        <f>(24*E197) - Table47258588127[[#This Row],[SLA]]*(24*E197)</f>
        <v>0</v>
      </c>
      <c r="I237" s="331">
        <f>Table47258588127[[#This Row],[Downtime/Year (Hours)]]*60</f>
        <v>0</v>
      </c>
      <c r="J237" s="331">
        <f>Table47258588127[[#This Row],[Downtime/Month (Hours)]]/24</f>
        <v>0</v>
      </c>
      <c r="K237" s="331">
        <f>Table47258588127[[#This Row],[Downtime/Year (Hours)]]/12</f>
        <v>0</v>
      </c>
      <c r="L237" s="331">
        <f>Table47258588127[[#This Row],[Downtime/Month (Hours)]]*60</f>
        <v>0</v>
      </c>
      <c r="M237" s="330">
        <v>0.5</v>
      </c>
      <c r="N237" s="330">
        <v>1</v>
      </c>
      <c r="O237" s="332">
        <v>0</v>
      </c>
      <c r="P237" s="332">
        <v>1</v>
      </c>
      <c r="Q237" s="132"/>
      <c r="R237" s="4"/>
    </row>
    <row r="238" spans="1:18" hidden="1" outlineLevel="1">
      <c r="A238" s="4"/>
      <c r="B238" s="4"/>
      <c r="C238" s="7"/>
      <c r="D238" s="16" t="s">
        <v>979</v>
      </c>
      <c r="E238" s="16" t="s">
        <v>1365</v>
      </c>
      <c r="F238" s="330">
        <v>0.99950000000000006</v>
      </c>
      <c r="G238" s="331">
        <f>(E197) - Table47258588127[[#This Row],[SLA]]*(E197)</f>
        <v>0</v>
      </c>
      <c r="H238" s="331">
        <f>(24*E197) - Table47258588127[[#This Row],[SLA]]*(24*E197)</f>
        <v>0</v>
      </c>
      <c r="I238" s="331">
        <f>Table47258588127[[#This Row],[Downtime/Year (Hours)]]*60</f>
        <v>0</v>
      </c>
      <c r="J238" s="331">
        <f>Table47258588127[[#This Row],[Downtime/Month (Hours)]]/24</f>
        <v>0</v>
      </c>
      <c r="K238" s="331">
        <f>Table47258588127[[#This Row],[Downtime/Year (Hours)]]/12</f>
        <v>0</v>
      </c>
      <c r="L238" s="331">
        <f>Table47258588127[[#This Row],[Downtime/Month (Hours)]]*60</f>
        <v>0</v>
      </c>
      <c r="M238" s="330">
        <v>0.75</v>
      </c>
      <c r="N238" s="330">
        <v>1</v>
      </c>
      <c r="O238" s="332">
        <v>0</v>
      </c>
      <c r="P238" s="332">
        <v>1</v>
      </c>
      <c r="Q238" s="132"/>
      <c r="R238" s="4"/>
    </row>
    <row r="239" spans="1:18" hidden="1" outlineLevel="1">
      <c r="A239" s="4"/>
      <c r="B239" s="4"/>
      <c r="C239" s="7"/>
      <c r="D239" s="16" t="s">
        <v>980</v>
      </c>
      <c r="E239" s="16" t="s">
        <v>1365</v>
      </c>
      <c r="F239" s="330">
        <v>0.99999000000000005</v>
      </c>
      <c r="G239" s="331">
        <f>(E197) - Table47258588127[[#This Row],[SLA]]*(E197)</f>
        <v>0</v>
      </c>
      <c r="H239" s="331">
        <f>(24*E197) - Table47258588127[[#This Row],[SLA]]*(24*E197)</f>
        <v>0</v>
      </c>
      <c r="I239" s="331">
        <f>Table47258588127[[#This Row],[Downtime/Year (Hours)]]*60</f>
        <v>0</v>
      </c>
      <c r="J239" s="331">
        <f>Table47258588127[[#This Row],[Downtime/Month (Hours)]]/24</f>
        <v>0</v>
      </c>
      <c r="K239" s="331">
        <f>Table47258588127[[#This Row],[Downtime/Year (Hours)]]/12</f>
        <v>0</v>
      </c>
      <c r="L239" s="331">
        <f>Table47258588127[[#This Row],[Downtime/Month (Hours)]]*60</f>
        <v>0</v>
      </c>
      <c r="M239" s="330">
        <v>0.66</v>
      </c>
      <c r="N239" s="330">
        <v>1</v>
      </c>
      <c r="O239" s="332">
        <v>1</v>
      </c>
      <c r="P239" s="332">
        <v>8</v>
      </c>
      <c r="Q239" s="129"/>
      <c r="R239" s="4"/>
    </row>
    <row r="240" spans="1:18" hidden="1" outlineLevel="1">
      <c r="A240" s="4"/>
      <c r="B240" s="4"/>
      <c r="C240" s="7"/>
      <c r="D240" s="16" t="s">
        <v>982</v>
      </c>
      <c r="E240" s="16" t="s">
        <v>1365</v>
      </c>
      <c r="F240" s="330">
        <v>1</v>
      </c>
      <c r="G240" s="331">
        <f>(E197) - Table47258588127[[#This Row],[SLA]]*(E197)</f>
        <v>0</v>
      </c>
      <c r="H240" s="331">
        <f>(24*E197) - Table47258588127[[#This Row],[SLA]]*(24*E197)</f>
        <v>0</v>
      </c>
      <c r="I240" s="331">
        <f>Table47258588127[[#This Row],[Downtime/Year (Hours)]]*60</f>
        <v>0</v>
      </c>
      <c r="J240" s="331">
        <f>Table47258588127[[#This Row],[Downtime/Month (Hours)]]/24</f>
        <v>0</v>
      </c>
      <c r="K240" s="331">
        <f>Table47258588127[[#This Row],[Downtime/Year (Hours)]]/12</f>
        <v>0</v>
      </c>
      <c r="L240" s="331">
        <f>Table47258588127[[#This Row],[Downtime/Month (Hours)]]*60</f>
        <v>0</v>
      </c>
      <c r="M240" s="330">
        <v>0.75</v>
      </c>
      <c r="N240" s="330">
        <v>1</v>
      </c>
      <c r="O240" s="332">
        <v>1</v>
      </c>
      <c r="P240" s="332">
        <v>8</v>
      </c>
      <c r="Q240" s="129"/>
      <c r="R240" s="4"/>
    </row>
    <row r="241" spans="1:18" hidden="1" outlineLevel="1">
      <c r="A241" s="4"/>
      <c r="B241" s="4"/>
      <c r="C241" s="7"/>
      <c r="D241" s="16" t="s">
        <v>983</v>
      </c>
      <c r="E241" s="16" t="s">
        <v>1365</v>
      </c>
      <c r="F241" s="330">
        <v>0.99999000000000005</v>
      </c>
      <c r="G241" s="331">
        <f>(E197) - Table47258588127[[#This Row],[SLA]]*(E197)</f>
        <v>0</v>
      </c>
      <c r="H241" s="331">
        <f>(24*E197) - Table47258588127[[#This Row],[SLA]]*(24*E197)</f>
        <v>0</v>
      </c>
      <c r="I241" s="331">
        <f>Table47258588127[[#This Row],[Downtime/Year (Hours)]]*60</f>
        <v>0</v>
      </c>
      <c r="J241" s="331">
        <f>Table47258588127[[#This Row],[Downtime/Month (Hours)]]/24</f>
        <v>0</v>
      </c>
      <c r="K241" s="331">
        <f>Table47258588127[[#This Row],[Downtime/Year (Hours)]]/12</f>
        <v>0</v>
      </c>
      <c r="L241" s="331">
        <f>Table47258588127[[#This Row],[Downtime/Month (Hours)]]*60</f>
        <v>0</v>
      </c>
      <c r="M241" s="330">
        <v>0.66</v>
      </c>
      <c r="N241" s="330">
        <v>1</v>
      </c>
      <c r="O241" s="332">
        <v>1</v>
      </c>
      <c r="P241" s="332">
        <v>8</v>
      </c>
      <c r="Q241" s="129"/>
      <c r="R241" s="4"/>
    </row>
    <row r="242" spans="1:18" hidden="1" outlineLevel="1">
      <c r="A242" s="4"/>
      <c r="B242" s="4"/>
      <c r="C242" s="7"/>
      <c r="D242" s="16" t="s">
        <v>1369</v>
      </c>
      <c r="E242" s="16"/>
      <c r="F242" s="330">
        <f>F233*F234*F235*F236*F237*F238*F239*F240*F241</f>
        <v>0.9977817035466533</v>
      </c>
      <c r="G242" s="331">
        <f>(E197) - Table47258588127[[#This Row],[SLA]]*(E197)</f>
        <v>0</v>
      </c>
      <c r="H242" s="331">
        <f>(24*E197) - Table47258588127[[#This Row],[SLA]]*(24*E197)</f>
        <v>0</v>
      </c>
      <c r="I242" s="331">
        <f>Table47258588127[[#This Row],[Downtime/Year (Hours)]]*60</f>
        <v>0</v>
      </c>
      <c r="J242" s="331">
        <f>Table47258588127[[#This Row],[Downtime/Month (Hours)]]/24</f>
        <v>0</v>
      </c>
      <c r="K242" s="331">
        <f>Table47258588127[[#This Row],[Downtime/Year (Hours)]]/12</f>
        <v>0</v>
      </c>
      <c r="L242" s="331">
        <f>Table47258588127[[#This Row],[Downtime/Month (Hours)]]*60</f>
        <v>0</v>
      </c>
      <c r="M242" s="330">
        <f>M233*M234*M235*M236*M237*M238*M239*M240*M241</f>
        <v>1.53140625E-2</v>
      </c>
      <c r="N242" s="330">
        <f>N233*N234*N235*N236*N237*N238*N239*N240*N241</f>
        <v>1</v>
      </c>
      <c r="O242" s="332">
        <f>MAX(O233:O241)</f>
        <v>1</v>
      </c>
      <c r="P242" s="332">
        <f>MAX(P233:P241)</f>
        <v>8</v>
      </c>
      <c r="Q242" s="130"/>
      <c r="R242" s="4"/>
    </row>
    <row r="243" spans="1:18" hidden="1" outlineLevel="1">
      <c r="A243" s="4"/>
      <c r="B243" s="4"/>
      <c r="C243" s="7"/>
      <c r="D243" s="7"/>
      <c r="E243" s="7"/>
      <c r="F243" s="7"/>
      <c r="G243" s="7"/>
      <c r="H243" s="7"/>
      <c r="I243" s="7"/>
      <c r="J243" s="7"/>
      <c r="K243" s="7"/>
      <c r="L243" s="7"/>
      <c r="M243" s="7"/>
      <c r="N243" s="7"/>
      <c r="O243" s="7"/>
      <c r="P243" s="7"/>
      <c r="Q243" s="7"/>
      <c r="R243" s="4"/>
    </row>
    <row r="244" spans="1:18" collapsed="1">
      <c r="A244" s="4"/>
      <c r="B244" s="4"/>
      <c r="C244" s="4"/>
      <c r="D244" s="4"/>
      <c r="E244" s="4"/>
      <c r="F244" s="4"/>
      <c r="G244" s="4"/>
      <c r="H244" s="4"/>
      <c r="I244" s="4"/>
      <c r="J244" s="4"/>
      <c r="K244" s="4"/>
      <c r="L244" s="4"/>
      <c r="M244" s="4"/>
      <c r="N244" s="4"/>
      <c r="O244" s="4"/>
      <c r="P244" s="4"/>
      <c r="Q244" s="4"/>
      <c r="R244" s="4"/>
    </row>
    <row r="245" spans="1:18" ht="18.600000000000001">
      <c r="A245" s="4"/>
      <c r="B245" s="4"/>
      <c r="C245" s="102" t="s">
        <v>1374</v>
      </c>
      <c r="D245" s="102"/>
      <c r="E245" s="102"/>
      <c r="F245" s="102"/>
      <c r="G245" s="102"/>
      <c r="H245" s="102"/>
      <c r="I245" s="102"/>
      <c r="J245" s="102"/>
      <c r="K245" s="102"/>
      <c r="L245" s="102"/>
      <c r="M245" s="102"/>
      <c r="N245" s="102"/>
      <c r="O245" s="102"/>
      <c r="P245" s="102"/>
      <c r="Q245" s="102"/>
      <c r="R245" s="4"/>
    </row>
    <row r="246" spans="1:18" hidden="1" outlineLevel="1">
      <c r="A246" s="4"/>
      <c r="B246" s="4"/>
      <c r="C246" s="4"/>
      <c r="D246" s="4"/>
      <c r="E246" s="4"/>
      <c r="F246" s="4"/>
      <c r="G246" s="4"/>
      <c r="H246" s="4"/>
      <c r="I246" s="4"/>
      <c r="J246" s="4"/>
      <c r="K246" s="4"/>
      <c r="L246" s="4"/>
      <c r="M246" s="4"/>
      <c r="N246" s="4"/>
      <c r="O246" s="4"/>
      <c r="P246" s="4"/>
      <c r="Q246" s="4"/>
      <c r="R246" s="4"/>
    </row>
    <row r="247" spans="1:18" hidden="1" outlineLevel="1">
      <c r="A247" s="4"/>
      <c r="B247" s="4"/>
      <c r="C247" s="7"/>
      <c r="D247" s="7"/>
      <c r="E247" s="7"/>
      <c r="F247" s="7"/>
      <c r="G247" s="7"/>
      <c r="H247" s="7"/>
      <c r="I247" s="7"/>
      <c r="J247" s="7"/>
      <c r="K247" s="7"/>
      <c r="L247" s="7"/>
      <c r="M247" s="7"/>
      <c r="N247" s="7"/>
      <c r="O247" s="7"/>
      <c r="P247" s="7"/>
      <c r="Q247" s="7"/>
      <c r="R247" s="4"/>
    </row>
    <row r="248" spans="1:18" ht="29.1" hidden="1" outlineLevel="1">
      <c r="A248" s="4"/>
      <c r="B248" s="4"/>
      <c r="C248" s="7"/>
      <c r="D248" s="686" t="s">
        <v>1438</v>
      </c>
      <c r="E248" s="334" t="s">
        <v>1345</v>
      </c>
      <c r="F248" s="266" t="s">
        <v>1439</v>
      </c>
      <c r="G248" s="266" t="s">
        <v>1347</v>
      </c>
      <c r="H248" s="266" t="s">
        <v>1348</v>
      </c>
      <c r="I248" s="266" t="s">
        <v>1349</v>
      </c>
      <c r="J248" s="266" t="s">
        <v>1350</v>
      </c>
      <c r="K248" s="266" t="s">
        <v>1351</v>
      </c>
      <c r="L248" s="266" t="s">
        <v>1352</v>
      </c>
      <c r="M248" s="266" t="s">
        <v>1440</v>
      </c>
      <c r="N248" s="266" t="s">
        <v>1441</v>
      </c>
      <c r="O248" s="7"/>
      <c r="P248" s="7"/>
      <c r="Q248" s="7"/>
      <c r="R248" s="4"/>
    </row>
    <row r="249" spans="1:18" hidden="1" outlineLevel="1">
      <c r="A249" s="4"/>
      <c r="B249" s="4"/>
      <c r="C249" s="7"/>
      <c r="D249" s="687"/>
      <c r="E249" s="335" t="s">
        <v>1442</v>
      </c>
      <c r="F249" s="334">
        <f t="shared" ref="F249:N249" si="17">F269</f>
        <v>0.99780165948006261</v>
      </c>
      <c r="G249" s="336">
        <f t="shared" si="17"/>
        <v>0</v>
      </c>
      <c r="H249" s="336">
        <f t="shared" si="17"/>
        <v>0</v>
      </c>
      <c r="I249" s="336">
        <f t="shared" si="17"/>
        <v>0</v>
      </c>
      <c r="J249" s="336">
        <f t="shared" si="17"/>
        <v>0</v>
      </c>
      <c r="K249" s="336">
        <f t="shared" si="17"/>
        <v>0</v>
      </c>
      <c r="L249" s="336">
        <f t="shared" si="17"/>
        <v>0</v>
      </c>
      <c r="M249" s="334">
        <f t="shared" si="17"/>
        <v>3.515625E-2</v>
      </c>
      <c r="N249" s="334">
        <f t="shared" si="17"/>
        <v>1</v>
      </c>
      <c r="O249" s="7"/>
      <c r="P249" s="7"/>
      <c r="Q249" s="7"/>
      <c r="R249" s="4"/>
    </row>
    <row r="250" spans="1:18" hidden="1" outlineLevel="1">
      <c r="A250" s="4"/>
      <c r="B250" s="4"/>
      <c r="C250" s="7"/>
      <c r="D250" s="687"/>
      <c r="E250" s="337" t="s">
        <v>1443</v>
      </c>
      <c r="F250" s="338">
        <f t="shared" ref="F250:N250" si="18">F283</f>
        <v>0.99780165948006261</v>
      </c>
      <c r="G250" s="336">
        <f t="shared" si="18"/>
        <v>0</v>
      </c>
      <c r="H250" s="336">
        <f t="shared" si="18"/>
        <v>0</v>
      </c>
      <c r="I250" s="336">
        <f t="shared" si="18"/>
        <v>0</v>
      </c>
      <c r="J250" s="336">
        <f t="shared" si="18"/>
        <v>0</v>
      </c>
      <c r="K250" s="336">
        <f t="shared" si="18"/>
        <v>0</v>
      </c>
      <c r="L250" s="336">
        <f t="shared" si="18"/>
        <v>0</v>
      </c>
      <c r="M250" s="334">
        <f t="shared" si="18"/>
        <v>3.515625E-2</v>
      </c>
      <c r="N250" s="334">
        <f t="shared" si="18"/>
        <v>1</v>
      </c>
      <c r="O250" s="7"/>
      <c r="P250" s="7"/>
      <c r="Q250" s="7"/>
      <c r="R250" s="4"/>
    </row>
    <row r="251" spans="1:18" hidden="1" outlineLevel="1">
      <c r="A251" s="4"/>
      <c r="B251" s="4"/>
      <c r="C251" s="7"/>
      <c r="D251" s="688"/>
      <c r="E251" s="337" t="s">
        <v>1444</v>
      </c>
      <c r="F251" s="338">
        <f>F250-F249</f>
        <v>0</v>
      </c>
      <c r="G251" s="336">
        <f>G250-G249</f>
        <v>0</v>
      </c>
      <c r="H251" s="336">
        <f>H250-H249</f>
        <v>0</v>
      </c>
      <c r="I251" s="336">
        <f t="shared" ref="I251:N251" si="19">I250-I249</f>
        <v>0</v>
      </c>
      <c r="J251" s="336">
        <f t="shared" si="19"/>
        <v>0</v>
      </c>
      <c r="K251" s="336">
        <f t="shared" si="19"/>
        <v>0</v>
      </c>
      <c r="L251" s="336">
        <f t="shared" si="19"/>
        <v>0</v>
      </c>
      <c r="M251" s="334">
        <f t="shared" si="19"/>
        <v>0</v>
      </c>
      <c r="N251" s="334">
        <f t="shared" si="19"/>
        <v>0</v>
      </c>
      <c r="O251" s="7"/>
      <c r="P251" s="7"/>
      <c r="Q251" s="7"/>
      <c r="R251" s="4"/>
    </row>
    <row r="252" spans="1:18" hidden="1" outlineLevel="1">
      <c r="A252" s="4"/>
      <c r="B252" s="4"/>
      <c r="C252" s="7"/>
      <c r="D252" s="7"/>
      <c r="E252" s="7"/>
      <c r="F252" s="7"/>
      <c r="G252" s="7"/>
      <c r="H252" s="7"/>
      <c r="I252" s="7"/>
      <c r="J252" s="7"/>
      <c r="K252" s="7"/>
      <c r="L252" s="7"/>
      <c r="M252" s="7"/>
      <c r="N252" s="7"/>
      <c r="O252" s="7"/>
      <c r="P252" s="7"/>
      <c r="Q252" s="7"/>
      <c r="R252" s="4"/>
    </row>
    <row r="253" spans="1:18" hidden="1" outlineLevel="1">
      <c r="A253" s="4"/>
      <c r="B253" s="4"/>
      <c r="C253" s="7"/>
      <c r="D253" s="124" t="s">
        <v>1445</v>
      </c>
      <c r="E253" s="7"/>
      <c r="F253" s="7"/>
      <c r="G253" s="7"/>
      <c r="H253" s="7"/>
      <c r="I253" s="7"/>
      <c r="J253" s="7"/>
      <c r="K253" s="7"/>
      <c r="L253" s="7"/>
      <c r="M253" s="7"/>
      <c r="N253" s="7"/>
      <c r="O253" s="7"/>
      <c r="P253" s="7"/>
      <c r="Q253" s="7"/>
      <c r="R253" s="4"/>
    </row>
    <row r="254" spans="1:18" hidden="1" outlineLevel="1">
      <c r="A254" s="4"/>
      <c r="B254" s="4"/>
      <c r="C254" s="7"/>
      <c r="D254" s="125" t="s">
        <v>1446</v>
      </c>
      <c r="E254" s="7"/>
      <c r="F254" s="7"/>
      <c r="G254" s="7"/>
      <c r="H254" s="7"/>
      <c r="I254" s="7"/>
      <c r="J254" s="7"/>
      <c r="K254" s="7"/>
      <c r="L254" s="7"/>
      <c r="M254" s="7"/>
      <c r="N254" s="7"/>
      <c r="O254" s="7"/>
      <c r="P254" s="7"/>
      <c r="Q254" s="7"/>
      <c r="R254" s="4"/>
    </row>
    <row r="255" spans="1:18" hidden="1" outlineLevel="1">
      <c r="A255" s="4"/>
      <c r="B255" s="4"/>
      <c r="C255" s="7"/>
      <c r="D255" s="127" t="s">
        <v>1447</v>
      </c>
      <c r="E255" s="7"/>
      <c r="F255" s="7"/>
      <c r="G255" s="7"/>
      <c r="H255" s="7"/>
      <c r="I255" s="7"/>
      <c r="J255" s="7"/>
      <c r="K255" s="7"/>
      <c r="L255" s="7"/>
      <c r="M255" s="7"/>
      <c r="N255" s="7"/>
      <c r="O255" s="7"/>
      <c r="P255" s="7"/>
      <c r="Q255" s="7"/>
      <c r="R255" s="4"/>
    </row>
    <row r="256" spans="1:18" hidden="1" outlineLevel="1">
      <c r="A256" s="4"/>
      <c r="B256" s="4"/>
      <c r="C256" s="7"/>
      <c r="D256" s="126" t="s">
        <v>1448</v>
      </c>
      <c r="E256" s="7"/>
      <c r="F256" s="7"/>
      <c r="G256" s="7"/>
      <c r="H256" s="7"/>
      <c r="I256" s="7"/>
      <c r="J256" s="7"/>
      <c r="K256" s="7"/>
      <c r="L256" s="7"/>
      <c r="M256" s="7"/>
      <c r="N256" s="7"/>
      <c r="O256" s="7"/>
      <c r="P256" s="7"/>
      <c r="Q256" s="7"/>
      <c r="R256" s="4"/>
    </row>
    <row r="257" spans="1:18" hidden="1" outlineLevel="1">
      <c r="A257" s="4"/>
      <c r="B257" s="4"/>
      <c r="C257" s="7"/>
      <c r="D257" s="235"/>
      <c r="E257" s="7"/>
      <c r="F257" s="7"/>
      <c r="G257" s="7"/>
      <c r="H257" s="7"/>
      <c r="I257" s="7"/>
      <c r="J257" s="7"/>
      <c r="K257" s="7"/>
      <c r="L257" s="7"/>
      <c r="M257" s="7"/>
      <c r="N257" s="7"/>
      <c r="O257" s="7"/>
      <c r="P257" s="7"/>
      <c r="Q257" s="7"/>
      <c r="R257" s="4"/>
    </row>
    <row r="258" spans="1:18" hidden="1" outlineLevel="1">
      <c r="A258" s="4"/>
      <c r="B258" s="4"/>
      <c r="C258" s="4"/>
      <c r="D258" s="11"/>
      <c r="E258" s="11"/>
      <c r="F258" s="4"/>
      <c r="G258" s="4"/>
      <c r="H258" s="4"/>
      <c r="I258" s="4"/>
      <c r="J258" s="4"/>
      <c r="K258" s="4"/>
      <c r="L258" s="4"/>
      <c r="M258" s="4"/>
      <c r="N258" s="4"/>
      <c r="O258" s="4"/>
      <c r="P258" s="4"/>
      <c r="Q258" s="4"/>
      <c r="R258" s="4"/>
    </row>
    <row r="259" spans="1:18" ht="18.600000000000001" hidden="1" outlineLevel="1">
      <c r="A259" s="101"/>
      <c r="B259" s="101"/>
      <c r="C259" s="562" t="s">
        <v>1460</v>
      </c>
      <c r="D259" s="102"/>
      <c r="E259" s="101"/>
      <c r="F259" s="101"/>
      <c r="G259" s="101"/>
      <c r="H259" s="101"/>
      <c r="I259" s="101"/>
      <c r="J259" s="101"/>
      <c r="K259" s="101"/>
      <c r="L259" s="101"/>
      <c r="M259" s="101"/>
      <c r="N259" s="101"/>
      <c r="O259" s="101"/>
      <c r="P259" s="101"/>
      <c r="Q259" s="101"/>
      <c r="R259" s="4"/>
    </row>
    <row r="260" spans="1:18" hidden="1" outlineLevel="1">
      <c r="A260" s="4"/>
      <c r="B260" s="4"/>
      <c r="C260" s="4"/>
      <c r="D260" s="4"/>
      <c r="E260" s="4"/>
      <c r="F260" s="4"/>
      <c r="G260" s="4"/>
      <c r="H260" s="4"/>
      <c r="I260" s="4"/>
      <c r="J260" s="4"/>
      <c r="K260" s="4"/>
      <c r="L260" s="4"/>
      <c r="M260" s="4"/>
      <c r="N260" s="4"/>
      <c r="O260" s="4"/>
      <c r="P260" s="4"/>
      <c r="Q260" s="4"/>
      <c r="R260" s="4"/>
    </row>
    <row r="261" spans="1:18" hidden="1" outlineLevel="1">
      <c r="A261" s="4"/>
      <c r="B261" s="4"/>
      <c r="C261" s="7"/>
      <c r="D261" s="7"/>
      <c r="E261" s="7"/>
      <c r="F261" s="7"/>
      <c r="G261" s="7"/>
      <c r="H261" s="7"/>
      <c r="I261" s="7"/>
      <c r="J261" s="7"/>
      <c r="K261" s="7"/>
      <c r="L261" s="7"/>
      <c r="M261" s="7"/>
      <c r="N261" s="7"/>
      <c r="O261" s="7"/>
      <c r="P261" s="7"/>
      <c r="Q261" s="7"/>
      <c r="R261" s="4"/>
    </row>
    <row r="262" spans="1:18" ht="29.1" hidden="1" outlineLevel="1">
      <c r="A262" s="4"/>
      <c r="B262" s="4"/>
      <c r="C262" s="7"/>
      <c r="D262" s="18" t="s">
        <v>1450</v>
      </c>
      <c r="E262" s="18" t="s">
        <v>1116</v>
      </c>
      <c r="F262" s="18" t="s">
        <v>207</v>
      </c>
      <c r="G262" s="18" t="s">
        <v>1347</v>
      </c>
      <c r="H262" s="18" t="s">
        <v>1348</v>
      </c>
      <c r="I262" s="18" t="s">
        <v>1349</v>
      </c>
      <c r="J262" s="18" t="s">
        <v>1350</v>
      </c>
      <c r="K262" s="18" t="s">
        <v>1351</v>
      </c>
      <c r="L262" s="18" t="s">
        <v>1352</v>
      </c>
      <c r="M262" s="18" t="s">
        <v>1353</v>
      </c>
      <c r="N262" s="18" t="s">
        <v>1354</v>
      </c>
      <c r="O262" s="18" t="s">
        <v>1362</v>
      </c>
      <c r="P262" s="18" t="s">
        <v>1363</v>
      </c>
      <c r="Q262" s="54"/>
      <c r="R262" s="4"/>
    </row>
    <row r="263" spans="1:18" ht="16.5" hidden="1" outlineLevel="1">
      <c r="A263" s="4"/>
      <c r="B263" s="4"/>
      <c r="C263" s="7"/>
      <c r="D263" s="16" t="s">
        <v>1364</v>
      </c>
      <c r="E263" s="16" t="s">
        <v>1365</v>
      </c>
      <c r="F263" s="330">
        <v>0.99990000000000001</v>
      </c>
      <c r="G263" s="331">
        <f>(E242) - Table472590132[[#This Row],[SLA]]*(E242)</f>
        <v>0</v>
      </c>
      <c r="H263" s="331">
        <f>(24*E242) - Table472590132[[#This Row],[SLA]]*(24*E242)</f>
        <v>0</v>
      </c>
      <c r="I263" s="331">
        <f>Table472590132[[#This Row],[Downtime/Year (Hours)]]*60</f>
        <v>0</v>
      </c>
      <c r="J263" s="331">
        <f>Table472590132[[#This Row],[Downtime/Month (Hours)]]/24</f>
        <v>0</v>
      </c>
      <c r="K263" s="331">
        <f>Table472590132[[#This Row],[Downtime/Year (Hours)]]/12</f>
        <v>0</v>
      </c>
      <c r="L263" s="331">
        <f>Table472590132[[#This Row],[Downtime/Month (Hours)]]*60</f>
        <v>0</v>
      </c>
      <c r="M263" s="330">
        <v>0.5</v>
      </c>
      <c r="N263" s="330">
        <v>1</v>
      </c>
      <c r="O263" s="332">
        <v>0</v>
      </c>
      <c r="P263" s="332">
        <v>1</v>
      </c>
      <c r="Q263" s="129"/>
      <c r="R263" s="4"/>
    </row>
    <row r="264" spans="1:18" hidden="1" outlineLevel="1">
      <c r="A264" s="4"/>
      <c r="B264" s="4"/>
      <c r="C264" s="7"/>
      <c r="D264" s="16" t="s">
        <v>977</v>
      </c>
      <c r="E264" s="16" t="s">
        <v>1365</v>
      </c>
      <c r="F264" s="330">
        <v>1</v>
      </c>
      <c r="G264" s="331">
        <f>(E242) - Table472590132[[#This Row],[SLA]]*(E242)</f>
        <v>0</v>
      </c>
      <c r="H264" s="331">
        <f>(24*E242) - Table472590132[[#This Row],[SLA]]*(24*E242)</f>
        <v>0</v>
      </c>
      <c r="I264" s="331">
        <f>Table472590132[[#This Row],[Downtime/Year (Hours)]]*60</f>
        <v>0</v>
      </c>
      <c r="J264" s="331">
        <f>Table472590132[[#This Row],[Downtime/Month (Hours)]]/24</f>
        <v>0</v>
      </c>
      <c r="K264" s="331">
        <f>Table472590132[[#This Row],[Downtime/Year (Hours)]]/12</f>
        <v>0</v>
      </c>
      <c r="L264" s="331">
        <f>Table472590132[[#This Row],[Downtime/Month (Hours)]]*60</f>
        <v>0</v>
      </c>
      <c r="M264" s="330">
        <v>0.5</v>
      </c>
      <c r="N264" s="330">
        <v>1</v>
      </c>
      <c r="O264" s="332">
        <v>0</v>
      </c>
      <c r="P264" s="332">
        <v>1</v>
      </c>
      <c r="Q264" s="129"/>
      <c r="R264" s="4"/>
    </row>
    <row r="265" spans="1:18" hidden="1" outlineLevel="1">
      <c r="A265" s="4"/>
      <c r="B265" s="4"/>
      <c r="C265" s="7"/>
      <c r="D265" s="16" t="s">
        <v>975</v>
      </c>
      <c r="E265" s="16" t="s">
        <v>1365</v>
      </c>
      <c r="F265" s="330">
        <v>0.99950000000000006</v>
      </c>
      <c r="G265" s="331">
        <f>(E242) - Table472590132[[#This Row],[SLA]]*(E242)</f>
        <v>0</v>
      </c>
      <c r="H265" s="331">
        <f>(24*E242) - Table472590132[[#This Row],[SLA]]*(24*E242)</f>
        <v>0</v>
      </c>
      <c r="I265" s="331">
        <f>Table472590132[[#This Row],[Downtime/Year (Hours)]]*60</f>
        <v>0</v>
      </c>
      <c r="J265" s="331">
        <f>Table472590132[[#This Row],[Downtime/Month (Hours)]]/24</f>
        <v>0</v>
      </c>
      <c r="K265" s="331">
        <f>Table472590132[[#This Row],[Downtime/Year (Hours)]]/12</f>
        <v>0</v>
      </c>
      <c r="L265" s="331">
        <f>Table472590132[[#This Row],[Downtime/Month (Hours)]]*60</f>
        <v>0</v>
      </c>
      <c r="M265" s="330">
        <v>0.5</v>
      </c>
      <c r="N265" s="330">
        <v>1</v>
      </c>
      <c r="O265" s="332">
        <v>0</v>
      </c>
      <c r="P265" s="332">
        <v>1</v>
      </c>
      <c r="Q265" s="129"/>
      <c r="R265" s="4"/>
    </row>
    <row r="266" spans="1:18" hidden="1" outlineLevel="1">
      <c r="A266" s="4"/>
      <c r="B266" s="4"/>
      <c r="C266" s="7"/>
      <c r="D266" s="313" t="s">
        <v>981</v>
      </c>
      <c r="E266" s="16" t="s">
        <v>1365</v>
      </c>
      <c r="F266" s="330">
        <v>0.999</v>
      </c>
      <c r="G266" s="331">
        <f>(E242) - Table472590132[[#This Row],[SLA]]*(E242)</f>
        <v>0</v>
      </c>
      <c r="H266" s="331">
        <f>(24*E242) - Table472590132[[#This Row],[SLA]]*(24*E242)</f>
        <v>0</v>
      </c>
      <c r="I266" s="331">
        <f>Table472590132[[#This Row],[Downtime/Year (Hours)]]*60</f>
        <v>0</v>
      </c>
      <c r="J266" s="331">
        <f>Table472590132[[#This Row],[Downtime/Month (Hours)]]/24</f>
        <v>0</v>
      </c>
      <c r="K266" s="331">
        <f>Table472590132[[#This Row],[Downtime/Year (Hours)]]/12</f>
        <v>0</v>
      </c>
      <c r="L266" s="331">
        <f>Table472590132[[#This Row],[Downtime/Month (Hours)]]*60</f>
        <v>0</v>
      </c>
      <c r="M266" s="330">
        <v>0.5</v>
      </c>
      <c r="N266" s="330">
        <v>1</v>
      </c>
      <c r="O266" s="332">
        <v>0</v>
      </c>
      <c r="P266" s="332">
        <v>1</v>
      </c>
      <c r="Q266" s="129"/>
      <c r="R266" s="4"/>
    </row>
    <row r="267" spans="1:18" hidden="1" outlineLevel="1">
      <c r="A267" s="4"/>
      <c r="B267" s="4"/>
      <c r="C267" s="7"/>
      <c r="D267" s="16" t="s">
        <v>979</v>
      </c>
      <c r="E267" s="16" t="s">
        <v>1365</v>
      </c>
      <c r="F267" s="330">
        <v>0.99950000000000006</v>
      </c>
      <c r="G267" s="331">
        <f>(E242) - Table472590132[[#This Row],[SLA]]*(E242)</f>
        <v>0</v>
      </c>
      <c r="H267" s="331">
        <f>(24*E242) - Table472590132[[#This Row],[SLA]]*(24*E242)</f>
        <v>0</v>
      </c>
      <c r="I267" s="331">
        <f>Table472590132[[#This Row],[Downtime/Year (Hours)]]*60</f>
        <v>0</v>
      </c>
      <c r="J267" s="331">
        <f>Table472590132[[#This Row],[Downtime/Month (Hours)]]/24</f>
        <v>0</v>
      </c>
      <c r="K267" s="331">
        <f>Table472590132[[#This Row],[Downtime/Year (Hours)]]/12</f>
        <v>0</v>
      </c>
      <c r="L267" s="331">
        <f>Table472590132[[#This Row],[Downtime/Month (Hours)]]*60</f>
        <v>0</v>
      </c>
      <c r="M267" s="330">
        <v>0.75</v>
      </c>
      <c r="N267" s="330">
        <v>1</v>
      </c>
      <c r="O267" s="332">
        <v>0</v>
      </c>
      <c r="P267" s="332">
        <v>1</v>
      </c>
      <c r="Q267" s="129"/>
      <c r="R267" s="4"/>
    </row>
    <row r="268" spans="1:18" hidden="1" outlineLevel="1">
      <c r="A268" s="4"/>
      <c r="B268" s="4"/>
      <c r="C268" s="7"/>
      <c r="D268" s="16" t="s">
        <v>982</v>
      </c>
      <c r="E268" s="16" t="s">
        <v>1365</v>
      </c>
      <c r="F268" s="330">
        <v>0.99990000000000001</v>
      </c>
      <c r="G268" s="331">
        <f>(E242) - Table472590132[[#This Row],[SLA]]*(E242)</f>
        <v>0</v>
      </c>
      <c r="H268" s="331">
        <f>(24*E242) - Table472590132[[#This Row],[SLA]]*(24*E242)</f>
        <v>0</v>
      </c>
      <c r="I268" s="331">
        <f>Table472590132[[#This Row],[Downtime/Year (Hours)]]*60</f>
        <v>0</v>
      </c>
      <c r="J268" s="331">
        <f>Table472590132[[#This Row],[Downtime/Month (Hours)]]/24</f>
        <v>0</v>
      </c>
      <c r="K268" s="331">
        <f>Table472590132[[#This Row],[Downtime/Year (Hours)]]/12</f>
        <v>0</v>
      </c>
      <c r="L268" s="331">
        <f>Table472590132[[#This Row],[Downtime/Month (Hours)]]*60</f>
        <v>0</v>
      </c>
      <c r="M268" s="330">
        <v>0.75</v>
      </c>
      <c r="N268" s="330">
        <v>1</v>
      </c>
      <c r="O268" s="332">
        <v>1</v>
      </c>
      <c r="P268" s="332">
        <v>8</v>
      </c>
      <c r="Q268" s="129"/>
      <c r="R268" s="4"/>
    </row>
    <row r="269" spans="1:18" hidden="1" outlineLevel="1">
      <c r="A269" s="4"/>
      <c r="B269" s="4"/>
      <c r="C269" s="7"/>
      <c r="D269" s="16" t="s">
        <v>1369</v>
      </c>
      <c r="E269" s="16"/>
      <c r="F269" s="330">
        <f>F263*F264*F265*F266*F267*F268</f>
        <v>0.99780165948006261</v>
      </c>
      <c r="G269" s="331">
        <f>(E242) - Table472590132[[#This Row],[SLA]]*(E242)</f>
        <v>0</v>
      </c>
      <c r="H269" s="331">
        <f>(24*E242) - Table472590132[[#This Row],[SLA]]*(24*E242)</f>
        <v>0</v>
      </c>
      <c r="I269" s="331">
        <f>Table472590132[[#This Row],[Downtime/Year (Hours)]]*60</f>
        <v>0</v>
      </c>
      <c r="J269" s="331">
        <f>Table472590132[[#This Row],[Downtime/Month (Hours)]]/24</f>
        <v>0</v>
      </c>
      <c r="K269" s="331">
        <f>Table472590132[[#This Row],[Downtime/Year (Hours)]]/12</f>
        <v>0</v>
      </c>
      <c r="L269" s="331">
        <f>Table472590132[[#This Row],[Downtime/Month (Hours)]]*60</f>
        <v>0</v>
      </c>
      <c r="M269" s="330">
        <f>M263*M264*M265*M266*M267*M268</f>
        <v>3.515625E-2</v>
      </c>
      <c r="N269" s="330">
        <f>N263*N264*N265*N266*N267*N268</f>
        <v>1</v>
      </c>
      <c r="O269" s="332">
        <f>MAX(O263:O268)</f>
        <v>1</v>
      </c>
      <c r="P269" s="332">
        <f>MAX(P263:P268)</f>
        <v>8</v>
      </c>
      <c r="Q269" s="130"/>
      <c r="R269" s="4"/>
    </row>
    <row r="270" spans="1:18" hidden="1" outlineLevel="1">
      <c r="A270" s="4"/>
      <c r="B270" s="4"/>
      <c r="C270" s="7"/>
      <c r="D270" s="7"/>
      <c r="E270" s="7"/>
      <c r="F270" s="7"/>
      <c r="G270" s="7"/>
      <c r="H270" s="7"/>
      <c r="I270" s="7"/>
      <c r="J270" s="7"/>
      <c r="K270" s="7"/>
      <c r="L270" s="7"/>
      <c r="M270" s="7"/>
      <c r="N270" s="7"/>
      <c r="O270" s="7"/>
      <c r="P270" s="7"/>
      <c r="Q270" s="7"/>
      <c r="R270" s="4"/>
    </row>
    <row r="271" spans="1:18" hidden="1" outlineLevel="1">
      <c r="A271" s="4"/>
      <c r="B271" s="4"/>
      <c r="C271" s="4"/>
      <c r="D271" s="4"/>
      <c r="E271" s="4"/>
      <c r="F271" s="4"/>
      <c r="G271" s="4"/>
      <c r="H271" s="4"/>
      <c r="I271" s="4"/>
      <c r="J271" s="4"/>
      <c r="K271" s="4"/>
      <c r="L271" s="4"/>
      <c r="M271" s="4"/>
      <c r="N271" s="4"/>
      <c r="O271" s="4"/>
      <c r="P271" s="4"/>
      <c r="Q271" s="4"/>
      <c r="R271" s="4"/>
    </row>
    <row r="272" spans="1:18" ht="18.600000000000001" hidden="1" outlineLevel="1">
      <c r="A272" s="102"/>
      <c r="B272" s="102"/>
      <c r="C272" s="562" t="s">
        <v>1461</v>
      </c>
      <c r="D272" s="102"/>
      <c r="E272" s="102"/>
      <c r="F272" s="102"/>
      <c r="G272" s="102"/>
      <c r="H272" s="102"/>
      <c r="I272" s="102"/>
      <c r="J272" s="102"/>
      <c r="K272" s="102"/>
      <c r="L272" s="102"/>
      <c r="M272" s="102"/>
      <c r="N272" s="102"/>
      <c r="O272" s="102"/>
      <c r="P272" s="102"/>
      <c r="Q272" s="102"/>
      <c r="R272" s="4"/>
    </row>
    <row r="273" spans="1:18" ht="18.600000000000001" hidden="1" outlineLevel="1">
      <c r="A273" s="102"/>
      <c r="B273" s="102"/>
      <c r="C273" s="102"/>
      <c r="D273" s="102"/>
      <c r="E273" s="102"/>
      <c r="F273" s="102"/>
      <c r="G273" s="102"/>
      <c r="H273" s="102"/>
      <c r="I273" s="102"/>
      <c r="J273" s="102"/>
      <c r="K273" s="102"/>
      <c r="L273" s="102"/>
      <c r="M273" s="102"/>
      <c r="N273" s="102"/>
      <c r="O273" s="102"/>
      <c r="P273" s="102"/>
      <c r="Q273" s="102"/>
      <c r="R273" s="4"/>
    </row>
    <row r="274" spans="1:18" ht="18.600000000000001" hidden="1" outlineLevel="1">
      <c r="A274" s="102"/>
      <c r="B274" s="102"/>
      <c r="C274" s="131"/>
      <c r="D274" s="131"/>
      <c r="E274" s="131"/>
      <c r="F274" s="131"/>
      <c r="G274" s="131"/>
      <c r="H274" s="131"/>
      <c r="I274" s="131"/>
      <c r="J274" s="131"/>
      <c r="K274" s="131"/>
      <c r="L274" s="131"/>
      <c r="M274" s="131"/>
      <c r="N274" s="131"/>
      <c r="O274" s="131"/>
      <c r="P274" s="131"/>
      <c r="Q274" s="131"/>
      <c r="R274" s="4"/>
    </row>
    <row r="275" spans="1:18" ht="29.1" hidden="1" outlineLevel="1">
      <c r="A275" s="4"/>
      <c r="B275" s="4"/>
      <c r="C275" s="7"/>
      <c r="D275" s="18" t="s">
        <v>1450</v>
      </c>
      <c r="E275" s="18" t="s">
        <v>1116</v>
      </c>
      <c r="F275" s="18" t="s">
        <v>207</v>
      </c>
      <c r="G275" s="18" t="s">
        <v>1347</v>
      </c>
      <c r="H275" s="18" t="s">
        <v>1348</v>
      </c>
      <c r="I275" s="18" t="s">
        <v>1349</v>
      </c>
      <c r="J275" s="18" t="s">
        <v>1350</v>
      </c>
      <c r="K275" s="18" t="s">
        <v>1351</v>
      </c>
      <c r="L275" s="18" t="s">
        <v>1352</v>
      </c>
      <c r="M275" s="18" t="s">
        <v>1353</v>
      </c>
      <c r="N275" s="18" t="s">
        <v>1354</v>
      </c>
      <c r="O275" s="18" t="s">
        <v>1362</v>
      </c>
      <c r="P275" s="18" t="s">
        <v>1363</v>
      </c>
      <c r="Q275" s="54"/>
      <c r="R275" s="4"/>
    </row>
    <row r="276" spans="1:18" ht="16.5" hidden="1" outlineLevel="1">
      <c r="A276" s="4"/>
      <c r="B276" s="4"/>
      <c r="C276" s="7"/>
      <c r="D276" s="16" t="s">
        <v>1364</v>
      </c>
      <c r="E276" s="16" t="s">
        <v>1365</v>
      </c>
      <c r="F276" s="330">
        <v>0.99990000000000001</v>
      </c>
      <c r="G276" s="331">
        <f>(E242) - Table47258588130[[#This Row],[SLA]]*(E242)</f>
        <v>0</v>
      </c>
      <c r="H276" s="331">
        <f>(24*E242) - Table47258588130[[#This Row],[SLA]]*(24*E242)</f>
        <v>0</v>
      </c>
      <c r="I276" s="331">
        <f>Table47258588130[[#This Row],[Downtime/Year (Hours)]]*60</f>
        <v>0</v>
      </c>
      <c r="J276" s="331">
        <f>Table47258588130[[#This Row],[Downtime/Month (Hours)]]/24</f>
        <v>0</v>
      </c>
      <c r="K276" s="331">
        <f>Table47258588130[[#This Row],[Downtime/Year (Hours)]]/12</f>
        <v>0</v>
      </c>
      <c r="L276" s="331">
        <f>Table47258588130[[#This Row],[Downtime/Month (Hours)]]*60</f>
        <v>0</v>
      </c>
      <c r="M276" s="330">
        <v>0.5</v>
      </c>
      <c r="N276" s="330">
        <v>1</v>
      </c>
      <c r="O276" s="332">
        <v>0</v>
      </c>
      <c r="P276" s="332">
        <v>1</v>
      </c>
      <c r="Q276" s="129"/>
      <c r="R276" s="4"/>
    </row>
    <row r="277" spans="1:18" hidden="1" outlineLevel="1">
      <c r="A277" s="4"/>
      <c r="B277" s="4"/>
      <c r="C277" s="7"/>
      <c r="D277" s="16" t="s">
        <v>977</v>
      </c>
      <c r="E277" s="16" t="s">
        <v>1365</v>
      </c>
      <c r="F277" s="330">
        <v>1</v>
      </c>
      <c r="G277" s="331">
        <f>(E242) - Table47258588130[[#This Row],[SLA]]*(E242)</f>
        <v>0</v>
      </c>
      <c r="H277" s="331">
        <f>(24*E242) - Table47258588130[[#This Row],[SLA]]*(24*E242)</f>
        <v>0</v>
      </c>
      <c r="I277" s="331">
        <f>Table47258588130[[#This Row],[Downtime/Year (Hours)]]*60</f>
        <v>0</v>
      </c>
      <c r="J277" s="331">
        <f>Table47258588130[[#This Row],[Downtime/Month (Hours)]]/24</f>
        <v>0</v>
      </c>
      <c r="K277" s="331">
        <f>Table47258588130[[#This Row],[Downtime/Year (Hours)]]/12</f>
        <v>0</v>
      </c>
      <c r="L277" s="331">
        <f>Table47258588130[[#This Row],[Downtime/Month (Hours)]]*60</f>
        <v>0</v>
      </c>
      <c r="M277" s="330">
        <v>0.5</v>
      </c>
      <c r="N277" s="330">
        <v>1</v>
      </c>
      <c r="O277" s="332">
        <v>0</v>
      </c>
      <c r="P277" s="332">
        <v>1</v>
      </c>
      <c r="Q277" s="129"/>
      <c r="R277" s="4"/>
    </row>
    <row r="278" spans="1:18" hidden="1" outlineLevel="1">
      <c r="A278" s="4"/>
      <c r="B278" s="4"/>
      <c r="C278" s="7"/>
      <c r="D278" s="333" t="s">
        <v>978</v>
      </c>
      <c r="E278" s="16" t="s">
        <v>1365</v>
      </c>
      <c r="F278" s="330">
        <v>0.99990000000000001</v>
      </c>
      <c r="G278" s="331">
        <f>(E242) - Table47258588130[[#This Row],[SLA]]*(E242)</f>
        <v>0</v>
      </c>
      <c r="H278" s="331">
        <f>(24*E242) - Table47258588130[[#This Row],[SLA]]*(24*E242)</f>
        <v>0</v>
      </c>
      <c r="I278" s="331">
        <f>Table47258588130[[#This Row],[Downtime/Year (Hours)]]*60</f>
        <v>0</v>
      </c>
      <c r="J278" s="331">
        <f>Table47258588130[[#This Row],[Downtime/Month (Hours)]]/24</f>
        <v>0</v>
      </c>
      <c r="K278" s="331">
        <f>Table47258588130[[#This Row],[Downtime/Year (Hours)]]/12</f>
        <v>0</v>
      </c>
      <c r="L278" s="331">
        <f>Table47258588130[[#This Row],[Downtime/Month (Hours)]]*60</f>
        <v>0</v>
      </c>
      <c r="M278" s="330">
        <v>1</v>
      </c>
      <c r="N278" s="330">
        <v>1</v>
      </c>
      <c r="O278" s="332">
        <v>0</v>
      </c>
      <c r="P278" s="332">
        <v>1</v>
      </c>
      <c r="Q278" s="132"/>
      <c r="R278" s="4"/>
    </row>
    <row r="279" spans="1:18" hidden="1" outlineLevel="1">
      <c r="A279" s="4"/>
      <c r="B279" s="4"/>
      <c r="C279" s="7"/>
      <c r="D279" s="16" t="s">
        <v>975</v>
      </c>
      <c r="E279" s="16" t="s">
        <v>1365</v>
      </c>
      <c r="F279" s="330">
        <v>0.99950000000000006</v>
      </c>
      <c r="G279" s="331">
        <f>(E242) - Table47258588130[[#This Row],[SLA]]*(E242)</f>
        <v>0</v>
      </c>
      <c r="H279" s="331">
        <f>(24*E242) - Table47258588130[[#This Row],[SLA]]*(24*E242)</f>
        <v>0</v>
      </c>
      <c r="I279" s="331">
        <f>Table47258588130[[#This Row],[Downtime/Year (Hours)]]*60</f>
        <v>0</v>
      </c>
      <c r="J279" s="331">
        <f>Table47258588130[[#This Row],[Downtime/Month (Hours)]]/24</f>
        <v>0</v>
      </c>
      <c r="K279" s="331">
        <f>Table47258588130[[#This Row],[Downtime/Year (Hours)]]/12</f>
        <v>0</v>
      </c>
      <c r="L279" s="331">
        <f>Table47258588130[[#This Row],[Downtime/Month (Hours)]]*60</f>
        <v>0</v>
      </c>
      <c r="M279" s="330">
        <v>0.5</v>
      </c>
      <c r="N279" s="330">
        <v>1</v>
      </c>
      <c r="O279" s="332">
        <v>0</v>
      </c>
      <c r="P279" s="332">
        <v>1</v>
      </c>
      <c r="Q279" s="132"/>
      <c r="R279" s="4"/>
    </row>
    <row r="280" spans="1:18" hidden="1" outlineLevel="1">
      <c r="A280" s="4"/>
      <c r="B280" s="4"/>
      <c r="C280" s="7"/>
      <c r="D280" s="313" t="s">
        <v>981</v>
      </c>
      <c r="E280" s="16" t="s">
        <v>1365</v>
      </c>
      <c r="F280" s="330">
        <v>0.999</v>
      </c>
      <c r="G280" s="331">
        <f>(E242) - Table47258588130[[#This Row],[SLA]]*(E242)</f>
        <v>0</v>
      </c>
      <c r="H280" s="331">
        <f>(24*E242) - Table47258588130[[#This Row],[SLA]]*(24*E242)</f>
        <v>0</v>
      </c>
      <c r="I280" s="331">
        <f>Table47258588130[[#This Row],[Downtime/Year (Hours)]]*60</f>
        <v>0</v>
      </c>
      <c r="J280" s="331">
        <f>Table47258588130[[#This Row],[Downtime/Month (Hours)]]/24</f>
        <v>0</v>
      </c>
      <c r="K280" s="331">
        <f>Table47258588130[[#This Row],[Downtime/Year (Hours)]]/12</f>
        <v>0</v>
      </c>
      <c r="L280" s="331">
        <f>Table47258588130[[#This Row],[Downtime/Month (Hours)]]*60</f>
        <v>0</v>
      </c>
      <c r="M280" s="330">
        <v>0.5</v>
      </c>
      <c r="N280" s="330">
        <v>1</v>
      </c>
      <c r="O280" s="332">
        <v>0</v>
      </c>
      <c r="P280" s="332">
        <v>1</v>
      </c>
      <c r="Q280" s="132"/>
      <c r="R280" s="4"/>
    </row>
    <row r="281" spans="1:18" hidden="1" outlineLevel="1">
      <c r="A281" s="4"/>
      <c r="B281" s="4"/>
      <c r="C281" s="7"/>
      <c r="D281" s="16" t="s">
        <v>979</v>
      </c>
      <c r="E281" s="16" t="s">
        <v>1365</v>
      </c>
      <c r="F281" s="330">
        <v>0.99950000000000006</v>
      </c>
      <c r="G281" s="331">
        <f>(E242) - Table47258588130[[#This Row],[SLA]]*(E242)</f>
        <v>0</v>
      </c>
      <c r="H281" s="331">
        <f>(24*E242) - Table47258588130[[#This Row],[SLA]]*(24*E242)</f>
        <v>0</v>
      </c>
      <c r="I281" s="331">
        <f>Table47258588130[[#This Row],[Downtime/Year (Hours)]]*60</f>
        <v>0</v>
      </c>
      <c r="J281" s="331">
        <f>Table47258588130[[#This Row],[Downtime/Month (Hours)]]/24</f>
        <v>0</v>
      </c>
      <c r="K281" s="331">
        <f>Table47258588130[[#This Row],[Downtime/Year (Hours)]]/12</f>
        <v>0</v>
      </c>
      <c r="L281" s="331">
        <f>Table47258588130[[#This Row],[Downtime/Month (Hours)]]*60</f>
        <v>0</v>
      </c>
      <c r="M281" s="330">
        <v>0.75</v>
      </c>
      <c r="N281" s="330">
        <v>1</v>
      </c>
      <c r="O281" s="332">
        <v>0</v>
      </c>
      <c r="P281" s="332">
        <v>1</v>
      </c>
      <c r="Q281" s="132"/>
      <c r="R281" s="4"/>
    </row>
    <row r="282" spans="1:18" hidden="1" outlineLevel="1">
      <c r="A282" s="4"/>
      <c r="B282" s="4"/>
      <c r="C282" s="7"/>
      <c r="D282" s="16" t="s">
        <v>982</v>
      </c>
      <c r="E282" s="16" t="s">
        <v>1365</v>
      </c>
      <c r="F282" s="330">
        <v>1</v>
      </c>
      <c r="G282" s="331">
        <f>(E242) - Table47258588130[[#This Row],[SLA]]*(E242)</f>
        <v>0</v>
      </c>
      <c r="H282" s="331">
        <f>(24*E242) - Table47258588130[[#This Row],[SLA]]*(24*E242)</f>
        <v>0</v>
      </c>
      <c r="I282" s="331">
        <f>Table47258588130[[#This Row],[Downtime/Year (Hours)]]*60</f>
        <v>0</v>
      </c>
      <c r="J282" s="331">
        <f>Table47258588130[[#This Row],[Downtime/Month (Hours)]]/24</f>
        <v>0</v>
      </c>
      <c r="K282" s="331">
        <f>Table47258588130[[#This Row],[Downtime/Year (Hours)]]/12</f>
        <v>0</v>
      </c>
      <c r="L282" s="331">
        <f>Table47258588130[[#This Row],[Downtime/Month (Hours)]]*60</f>
        <v>0</v>
      </c>
      <c r="M282" s="330">
        <v>0.75</v>
      </c>
      <c r="N282" s="330">
        <v>1</v>
      </c>
      <c r="O282" s="332">
        <v>1</v>
      </c>
      <c r="P282" s="332">
        <v>8</v>
      </c>
      <c r="Q282" s="129"/>
      <c r="R282" s="4"/>
    </row>
    <row r="283" spans="1:18" hidden="1" outlineLevel="1">
      <c r="A283" s="4"/>
      <c r="B283" s="4"/>
      <c r="C283" s="7"/>
      <c r="D283" s="16" t="s">
        <v>1369</v>
      </c>
      <c r="E283" s="16"/>
      <c r="F283" s="330">
        <f>F276*F277*F278*F279*F280*F281*F282</f>
        <v>0.99780165948006261</v>
      </c>
      <c r="G283" s="331">
        <f>(E242) - Table47258588130[[#This Row],[SLA]]*(E242)</f>
        <v>0</v>
      </c>
      <c r="H283" s="331">
        <f>(24*E242) - Table47258588130[[#This Row],[SLA]]*(24*E242)</f>
        <v>0</v>
      </c>
      <c r="I283" s="331">
        <f>Table47258588130[[#This Row],[Downtime/Year (Hours)]]*60</f>
        <v>0</v>
      </c>
      <c r="J283" s="331">
        <f>Table47258588130[[#This Row],[Downtime/Month (Hours)]]/24</f>
        <v>0</v>
      </c>
      <c r="K283" s="331">
        <f>Table47258588130[[#This Row],[Downtime/Year (Hours)]]/12</f>
        <v>0</v>
      </c>
      <c r="L283" s="331">
        <f>Table47258588130[[#This Row],[Downtime/Month (Hours)]]*60</f>
        <v>0</v>
      </c>
      <c r="M283" s="330">
        <f>M276*M277*M278*M279*M280*M281*M282</f>
        <v>3.515625E-2</v>
      </c>
      <c r="N283" s="330">
        <f>N276*N277*N278*N279*N280*N281*N282</f>
        <v>1</v>
      </c>
      <c r="O283" s="332">
        <f>MAX(O276:O282)</f>
        <v>1</v>
      </c>
      <c r="P283" s="332">
        <f>MAX(P276:P282)</f>
        <v>8</v>
      </c>
      <c r="Q283" s="130"/>
      <c r="R283" s="4"/>
    </row>
    <row r="284" spans="1:18" hidden="1" outlineLevel="1">
      <c r="A284" s="4"/>
      <c r="B284" s="4"/>
      <c r="C284" s="7"/>
      <c r="D284" s="7"/>
      <c r="E284" s="7"/>
      <c r="F284" s="7"/>
      <c r="G284" s="7"/>
      <c r="H284" s="7"/>
      <c r="I284" s="7"/>
      <c r="J284" s="7"/>
      <c r="K284" s="7"/>
      <c r="L284" s="7"/>
      <c r="M284" s="7"/>
      <c r="N284" s="7"/>
      <c r="O284" s="7"/>
      <c r="P284" s="7"/>
      <c r="Q284" s="7"/>
      <c r="R284" s="4"/>
    </row>
    <row r="285" spans="1:18" collapsed="1">
      <c r="A285" s="4"/>
      <c r="B285" s="4"/>
      <c r="C285" s="4"/>
      <c r="D285" s="4"/>
      <c r="E285" s="4"/>
      <c r="F285" s="4"/>
      <c r="G285" s="4"/>
      <c r="H285" s="4"/>
      <c r="I285" s="4"/>
      <c r="J285" s="4"/>
      <c r="K285" s="4"/>
      <c r="L285" s="4"/>
      <c r="M285" s="4"/>
      <c r="N285" s="4"/>
      <c r="O285" s="4"/>
      <c r="P285" s="4"/>
      <c r="Q285" s="4"/>
      <c r="R285" s="4"/>
    </row>
    <row r="286" spans="1:18" ht="18.600000000000001">
      <c r="A286" s="4"/>
      <c r="B286" s="4"/>
      <c r="C286" s="102" t="s">
        <v>1375</v>
      </c>
      <c r="D286" s="102"/>
      <c r="E286" s="102"/>
      <c r="F286" s="102"/>
      <c r="G286" s="102"/>
      <c r="H286" s="102"/>
      <c r="I286" s="102"/>
      <c r="J286" s="102"/>
      <c r="K286" s="102"/>
      <c r="L286" s="102"/>
      <c r="M286" s="102"/>
      <c r="N286" s="102"/>
      <c r="O286" s="102"/>
      <c r="P286" s="102"/>
      <c r="Q286" s="102"/>
      <c r="R286" s="4"/>
    </row>
    <row r="287" spans="1:18" hidden="1" outlineLevel="1">
      <c r="A287" s="4"/>
      <c r="B287" s="4"/>
      <c r="C287" s="4"/>
      <c r="D287" s="4"/>
      <c r="E287" s="4"/>
      <c r="F287" s="4"/>
      <c r="G287" s="4"/>
      <c r="H287" s="4"/>
      <c r="I287" s="4"/>
      <c r="J287" s="4"/>
      <c r="K287" s="4"/>
      <c r="L287" s="4"/>
      <c r="M287" s="4"/>
      <c r="N287" s="4"/>
      <c r="O287" s="4"/>
      <c r="P287" s="4"/>
      <c r="Q287" s="4"/>
      <c r="R287" s="4"/>
    </row>
    <row r="288" spans="1:18" hidden="1" outlineLevel="1">
      <c r="A288" s="4"/>
      <c r="B288" s="4"/>
      <c r="C288" s="7"/>
      <c r="D288" s="7"/>
      <c r="E288" s="7"/>
      <c r="F288" s="7"/>
      <c r="G288" s="7"/>
      <c r="H288" s="7"/>
      <c r="I288" s="7"/>
      <c r="J288" s="7"/>
      <c r="K288" s="7"/>
      <c r="L288" s="7"/>
      <c r="M288" s="7"/>
      <c r="N288" s="7"/>
      <c r="O288" s="7"/>
      <c r="P288" s="7"/>
      <c r="Q288" s="7"/>
      <c r="R288" s="4"/>
    </row>
    <row r="289" spans="1:18" ht="29.1" hidden="1" outlineLevel="1">
      <c r="A289" s="4"/>
      <c r="B289" s="4"/>
      <c r="C289" s="7"/>
      <c r="D289" s="686" t="s">
        <v>1438</v>
      </c>
      <c r="E289" s="334" t="s">
        <v>1345</v>
      </c>
      <c r="F289" s="266" t="s">
        <v>1439</v>
      </c>
      <c r="G289" s="266" t="s">
        <v>1347</v>
      </c>
      <c r="H289" s="266" t="s">
        <v>1348</v>
      </c>
      <c r="I289" s="266" t="s">
        <v>1349</v>
      </c>
      <c r="J289" s="266" t="s">
        <v>1350</v>
      </c>
      <c r="K289" s="266" t="s">
        <v>1351</v>
      </c>
      <c r="L289" s="266" t="s">
        <v>1352</v>
      </c>
      <c r="M289" s="266" t="s">
        <v>1440</v>
      </c>
      <c r="N289" s="266" t="s">
        <v>1441</v>
      </c>
      <c r="O289" s="7"/>
      <c r="P289" s="7"/>
      <c r="Q289" s="7"/>
      <c r="R289" s="4"/>
    </row>
    <row r="290" spans="1:18" hidden="1" outlineLevel="1">
      <c r="A290" s="4"/>
      <c r="B290" s="4"/>
      <c r="C290" s="7"/>
      <c r="D290" s="687"/>
      <c r="E290" s="335" t="s">
        <v>1442</v>
      </c>
      <c r="F290" s="334">
        <f t="shared" ref="F290:N290" si="20">F309</f>
        <v>0.99790144962502514</v>
      </c>
      <c r="G290" s="336">
        <f t="shared" si="20"/>
        <v>0</v>
      </c>
      <c r="H290" s="336">
        <f t="shared" si="20"/>
        <v>0</v>
      </c>
      <c r="I290" s="336">
        <f t="shared" si="20"/>
        <v>0</v>
      </c>
      <c r="J290" s="336">
        <f t="shared" si="20"/>
        <v>0</v>
      </c>
      <c r="K290" s="336">
        <f t="shared" si="20"/>
        <v>0</v>
      </c>
      <c r="L290" s="336">
        <f t="shared" si="20"/>
        <v>0</v>
      </c>
      <c r="M290" s="334">
        <f t="shared" si="20"/>
        <v>4.1250000000000002E-2</v>
      </c>
      <c r="N290" s="334">
        <f t="shared" si="20"/>
        <v>1</v>
      </c>
      <c r="O290" s="7"/>
      <c r="P290" s="7"/>
      <c r="Q290" s="7"/>
      <c r="R290" s="4"/>
    </row>
    <row r="291" spans="1:18" hidden="1" outlineLevel="1">
      <c r="A291" s="4"/>
      <c r="B291" s="4"/>
      <c r="C291" s="7"/>
      <c r="D291" s="687"/>
      <c r="E291" s="337" t="s">
        <v>1443</v>
      </c>
      <c r="F291" s="338">
        <f t="shared" ref="F291:N291" si="21">F322</f>
        <v>0.99829082687690618</v>
      </c>
      <c r="G291" s="336">
        <f t="shared" si="21"/>
        <v>0</v>
      </c>
      <c r="H291" s="336">
        <f t="shared" si="21"/>
        <v>0</v>
      </c>
      <c r="I291" s="336">
        <f t="shared" si="21"/>
        <v>0</v>
      </c>
      <c r="J291" s="336">
        <f t="shared" si="21"/>
        <v>0</v>
      </c>
      <c r="K291" s="336">
        <f t="shared" si="21"/>
        <v>0</v>
      </c>
      <c r="L291" s="336">
        <f t="shared" si="21"/>
        <v>0</v>
      </c>
      <c r="M291" s="334">
        <f t="shared" si="21"/>
        <v>4.1250000000000002E-2</v>
      </c>
      <c r="N291" s="334">
        <f t="shared" si="21"/>
        <v>1</v>
      </c>
      <c r="O291" s="7"/>
      <c r="P291" s="7"/>
      <c r="Q291" s="7"/>
      <c r="R291" s="4"/>
    </row>
    <row r="292" spans="1:18" hidden="1" outlineLevel="1">
      <c r="A292" s="4"/>
      <c r="B292" s="4"/>
      <c r="C292" s="7"/>
      <c r="D292" s="688"/>
      <c r="E292" s="337" t="s">
        <v>1444</v>
      </c>
      <c r="F292" s="338">
        <f>F291-F290</f>
        <v>3.8937725188104011E-4</v>
      </c>
      <c r="G292" s="336">
        <f>G291-G290</f>
        <v>0</v>
      </c>
      <c r="H292" s="336">
        <f>H291-H290</f>
        <v>0</v>
      </c>
      <c r="I292" s="336">
        <f t="shared" ref="I292:N292" si="22">I291-I290</f>
        <v>0</v>
      </c>
      <c r="J292" s="336">
        <f t="shared" si="22"/>
        <v>0</v>
      </c>
      <c r="K292" s="336">
        <f t="shared" si="22"/>
        <v>0</v>
      </c>
      <c r="L292" s="336">
        <f t="shared" si="22"/>
        <v>0</v>
      </c>
      <c r="M292" s="334">
        <f t="shared" si="22"/>
        <v>0</v>
      </c>
      <c r="N292" s="334">
        <f t="shared" si="22"/>
        <v>0</v>
      </c>
      <c r="O292" s="7"/>
      <c r="P292" s="7"/>
      <c r="Q292" s="7"/>
      <c r="R292" s="4"/>
    </row>
    <row r="293" spans="1:18" hidden="1" outlineLevel="1">
      <c r="A293" s="4"/>
      <c r="B293" s="4"/>
      <c r="C293" s="7"/>
      <c r="D293" s="7"/>
      <c r="E293" s="7"/>
      <c r="F293" s="7"/>
      <c r="G293" s="7"/>
      <c r="H293" s="7"/>
      <c r="I293" s="7"/>
      <c r="J293" s="7"/>
      <c r="K293" s="7"/>
      <c r="L293" s="7"/>
      <c r="M293" s="7"/>
      <c r="N293" s="7"/>
      <c r="O293" s="7"/>
      <c r="P293" s="7"/>
      <c r="Q293" s="7"/>
      <c r="R293" s="4"/>
    </row>
    <row r="294" spans="1:18" hidden="1" outlineLevel="1">
      <c r="A294" s="4"/>
      <c r="B294" s="4"/>
      <c r="C294" s="7"/>
      <c r="D294" s="124" t="s">
        <v>1445</v>
      </c>
      <c r="E294" s="7"/>
      <c r="F294" s="7"/>
      <c r="G294" s="7"/>
      <c r="H294" s="7"/>
      <c r="I294" s="7"/>
      <c r="J294" s="7"/>
      <c r="K294" s="7"/>
      <c r="L294" s="7"/>
      <c r="M294" s="7"/>
      <c r="N294" s="7"/>
      <c r="O294" s="7"/>
      <c r="P294" s="7"/>
      <c r="Q294" s="7"/>
      <c r="R294" s="4"/>
    </row>
    <row r="295" spans="1:18" hidden="1" outlineLevel="1">
      <c r="A295" s="4"/>
      <c r="B295" s="4"/>
      <c r="C295" s="7"/>
      <c r="D295" s="125" t="s">
        <v>1446</v>
      </c>
      <c r="E295" s="7"/>
      <c r="F295" s="7"/>
      <c r="G295" s="7"/>
      <c r="H295" s="7"/>
      <c r="I295" s="7"/>
      <c r="J295" s="7"/>
      <c r="K295" s="7"/>
      <c r="L295" s="7"/>
      <c r="M295" s="7"/>
      <c r="N295" s="7"/>
      <c r="O295" s="7"/>
      <c r="P295" s="7"/>
      <c r="Q295" s="7"/>
      <c r="R295" s="4"/>
    </row>
    <row r="296" spans="1:18" hidden="1" outlineLevel="1">
      <c r="A296" s="4"/>
      <c r="B296" s="4"/>
      <c r="C296" s="7"/>
      <c r="D296" s="127" t="s">
        <v>1447</v>
      </c>
      <c r="E296" s="7"/>
      <c r="F296" s="7"/>
      <c r="G296" s="7"/>
      <c r="H296" s="7"/>
      <c r="I296" s="7"/>
      <c r="J296" s="7"/>
      <c r="K296" s="7"/>
      <c r="L296" s="7"/>
      <c r="M296" s="7"/>
      <c r="N296" s="7"/>
      <c r="O296" s="7"/>
      <c r="P296" s="7"/>
      <c r="Q296" s="7"/>
      <c r="R296" s="4"/>
    </row>
    <row r="297" spans="1:18" hidden="1" outlineLevel="1">
      <c r="A297" s="4"/>
      <c r="B297" s="4"/>
      <c r="C297" s="7"/>
      <c r="D297" s="126" t="s">
        <v>1448</v>
      </c>
      <c r="E297" s="7"/>
      <c r="F297" s="7"/>
      <c r="G297" s="7"/>
      <c r="H297" s="7"/>
      <c r="I297" s="7"/>
      <c r="J297" s="7"/>
      <c r="K297" s="7"/>
      <c r="L297" s="7"/>
      <c r="M297" s="7"/>
      <c r="N297" s="7"/>
      <c r="O297" s="7"/>
      <c r="P297" s="7"/>
      <c r="Q297" s="7"/>
      <c r="R297" s="4"/>
    </row>
    <row r="298" spans="1:18" hidden="1" outlineLevel="1">
      <c r="A298" s="4"/>
      <c r="B298" s="4"/>
      <c r="C298" s="7"/>
      <c r="D298" s="235"/>
      <c r="E298" s="7"/>
      <c r="F298" s="7"/>
      <c r="G298" s="7"/>
      <c r="H298" s="7"/>
      <c r="I298" s="7"/>
      <c r="J298" s="7"/>
      <c r="K298" s="7"/>
      <c r="L298" s="7"/>
      <c r="M298" s="7"/>
      <c r="N298" s="7"/>
      <c r="O298" s="7"/>
      <c r="P298" s="7"/>
      <c r="Q298" s="7"/>
      <c r="R298" s="4"/>
    </row>
    <row r="299" spans="1:18" hidden="1" outlineLevel="1">
      <c r="A299" s="4"/>
      <c r="B299" s="4"/>
      <c r="C299" s="4"/>
      <c r="D299" s="11"/>
      <c r="E299" s="11"/>
      <c r="F299" s="4"/>
      <c r="G299" s="4"/>
      <c r="H299" s="4"/>
      <c r="I299" s="4"/>
      <c r="J299" s="4"/>
      <c r="K299" s="4"/>
      <c r="L299" s="4"/>
      <c r="M299" s="4"/>
      <c r="N299" s="4"/>
      <c r="O299" s="4"/>
      <c r="P299" s="4"/>
      <c r="Q299" s="4"/>
      <c r="R299" s="4"/>
    </row>
    <row r="300" spans="1:18" ht="18.600000000000001" hidden="1" outlineLevel="1">
      <c r="A300" s="101"/>
      <c r="B300" s="101"/>
      <c r="C300" s="562" t="s">
        <v>1462</v>
      </c>
      <c r="D300" s="102"/>
      <c r="E300" s="101"/>
      <c r="F300" s="101"/>
      <c r="G300" s="101"/>
      <c r="H300" s="101"/>
      <c r="I300" s="101"/>
      <c r="J300" s="101"/>
      <c r="K300" s="101"/>
      <c r="L300" s="101"/>
      <c r="M300" s="101"/>
      <c r="N300" s="101"/>
      <c r="O300" s="101"/>
      <c r="P300" s="101"/>
      <c r="Q300" s="101"/>
      <c r="R300" s="4"/>
    </row>
    <row r="301" spans="1:18" hidden="1" outlineLevel="1">
      <c r="A301" s="4"/>
      <c r="B301" s="4"/>
      <c r="C301" s="4"/>
      <c r="D301" s="4"/>
      <c r="E301" s="4"/>
      <c r="F301" s="4"/>
      <c r="G301" s="4"/>
      <c r="H301" s="4"/>
      <c r="I301" s="4"/>
      <c r="J301" s="4"/>
      <c r="K301" s="4"/>
      <c r="L301" s="4"/>
      <c r="M301" s="4"/>
      <c r="N301" s="4"/>
      <c r="O301" s="4"/>
      <c r="P301" s="4"/>
      <c r="Q301" s="4"/>
      <c r="R301" s="4"/>
    </row>
    <row r="302" spans="1:18" hidden="1" outlineLevel="1">
      <c r="A302" s="4"/>
      <c r="B302" s="4"/>
      <c r="C302" s="7"/>
      <c r="D302" s="7"/>
      <c r="E302" s="7"/>
      <c r="F302" s="7"/>
      <c r="G302" s="7"/>
      <c r="H302" s="7"/>
      <c r="I302" s="7"/>
      <c r="J302" s="7"/>
      <c r="K302" s="7"/>
      <c r="L302" s="7"/>
      <c r="M302" s="7"/>
      <c r="N302" s="7"/>
      <c r="O302" s="7"/>
      <c r="P302" s="7"/>
      <c r="Q302" s="7"/>
      <c r="R302" s="4"/>
    </row>
    <row r="303" spans="1:18" ht="29.1" hidden="1" outlineLevel="1">
      <c r="A303" s="4"/>
      <c r="B303" s="4"/>
      <c r="C303" s="7"/>
      <c r="D303" s="18" t="s">
        <v>1450</v>
      </c>
      <c r="E303" s="18" t="s">
        <v>1116</v>
      </c>
      <c r="F303" s="18" t="s">
        <v>207</v>
      </c>
      <c r="G303" s="18" t="s">
        <v>1347</v>
      </c>
      <c r="H303" s="18" t="s">
        <v>1348</v>
      </c>
      <c r="I303" s="18" t="s">
        <v>1349</v>
      </c>
      <c r="J303" s="18" t="s">
        <v>1350</v>
      </c>
      <c r="K303" s="18" t="s">
        <v>1351</v>
      </c>
      <c r="L303" s="18" t="s">
        <v>1352</v>
      </c>
      <c r="M303" s="18" t="s">
        <v>1353</v>
      </c>
      <c r="N303" s="18" t="s">
        <v>1354</v>
      </c>
      <c r="O303" s="18" t="s">
        <v>1362</v>
      </c>
      <c r="P303" s="18" t="s">
        <v>1363</v>
      </c>
      <c r="Q303" s="54"/>
      <c r="R303" s="4"/>
    </row>
    <row r="304" spans="1:18" ht="16.5" hidden="1" outlineLevel="1">
      <c r="A304" s="4"/>
      <c r="B304" s="4"/>
      <c r="C304" s="7"/>
      <c r="D304" s="16" t="s">
        <v>1364</v>
      </c>
      <c r="E304" s="16" t="s">
        <v>1365</v>
      </c>
      <c r="F304" s="330">
        <v>0.99990000000000001</v>
      </c>
      <c r="G304" s="331">
        <f>(E283) - Table472590135[[#This Row],[SLA]]*(E283)</f>
        <v>0</v>
      </c>
      <c r="H304" s="331">
        <f>(24*E283) - Table472590135[[#This Row],[SLA]]*(24*E283)</f>
        <v>0</v>
      </c>
      <c r="I304" s="331">
        <f>Table472590135[[#This Row],[Downtime/Year (Hours)]]*60</f>
        <v>0</v>
      </c>
      <c r="J304" s="331">
        <f>Table472590135[[#This Row],[Downtime/Month (Hours)]]/24</f>
        <v>0</v>
      </c>
      <c r="K304" s="331">
        <f>Table472590135[[#This Row],[Downtime/Year (Hours)]]/12</f>
        <v>0</v>
      </c>
      <c r="L304" s="331">
        <f>Table472590135[[#This Row],[Downtime/Month (Hours)]]*60</f>
        <v>0</v>
      </c>
      <c r="M304" s="330">
        <v>0.5</v>
      </c>
      <c r="N304" s="330">
        <v>1</v>
      </c>
      <c r="O304" s="332">
        <v>0</v>
      </c>
      <c r="P304" s="332">
        <v>1</v>
      </c>
      <c r="Q304" s="129"/>
      <c r="R304" s="4"/>
    </row>
    <row r="305" spans="1:18" hidden="1" outlineLevel="1">
      <c r="A305" s="4"/>
      <c r="B305" s="4"/>
      <c r="C305" s="7"/>
      <c r="D305" s="16" t="s">
        <v>977</v>
      </c>
      <c r="E305" s="16" t="s">
        <v>1365</v>
      </c>
      <c r="F305" s="330">
        <v>1</v>
      </c>
      <c r="G305" s="331">
        <f>(E283) - Table472590135[[#This Row],[SLA]]*(E283)</f>
        <v>0</v>
      </c>
      <c r="H305" s="331">
        <f>(24*E283) - Table472590135[[#This Row],[SLA]]*(24*E283)</f>
        <v>0</v>
      </c>
      <c r="I305" s="331">
        <f>Table472590135[[#This Row],[Downtime/Year (Hours)]]*60</f>
        <v>0</v>
      </c>
      <c r="J305" s="331">
        <f>Table472590135[[#This Row],[Downtime/Month (Hours)]]/24</f>
        <v>0</v>
      </c>
      <c r="K305" s="331">
        <f>Table472590135[[#This Row],[Downtime/Year (Hours)]]/12</f>
        <v>0</v>
      </c>
      <c r="L305" s="331">
        <f>Table472590135[[#This Row],[Downtime/Month (Hours)]]*60</f>
        <v>0</v>
      </c>
      <c r="M305" s="330">
        <v>0.5</v>
      </c>
      <c r="N305" s="330">
        <v>1</v>
      </c>
      <c r="O305" s="332">
        <v>0</v>
      </c>
      <c r="P305" s="332">
        <v>1</v>
      </c>
      <c r="Q305" s="129"/>
      <c r="R305" s="4"/>
    </row>
    <row r="306" spans="1:18" hidden="1" outlineLevel="1">
      <c r="A306" s="4"/>
      <c r="B306" s="4"/>
      <c r="C306" s="7"/>
      <c r="D306" s="16" t="s">
        <v>975</v>
      </c>
      <c r="E306" s="16" t="s">
        <v>1365</v>
      </c>
      <c r="F306" s="330">
        <v>0.99950000000000006</v>
      </c>
      <c r="G306" s="331">
        <f>(E283) - Table472590135[[#This Row],[SLA]]*(E283)</f>
        <v>0</v>
      </c>
      <c r="H306" s="331">
        <f>(24*E283) - Table472590135[[#This Row],[SLA]]*(24*E283)</f>
        <v>0</v>
      </c>
      <c r="I306" s="331">
        <f>Table472590135[[#This Row],[Downtime/Year (Hours)]]*60</f>
        <v>0</v>
      </c>
      <c r="J306" s="331">
        <f>Table472590135[[#This Row],[Downtime/Month (Hours)]]/24</f>
        <v>0</v>
      </c>
      <c r="K306" s="331">
        <f>Table472590135[[#This Row],[Downtime/Year (Hours)]]/12</f>
        <v>0</v>
      </c>
      <c r="L306" s="331">
        <f>Table472590135[[#This Row],[Downtime/Month (Hours)]]*60</f>
        <v>0</v>
      </c>
      <c r="M306" s="330">
        <v>0.5</v>
      </c>
      <c r="N306" s="330">
        <v>1</v>
      </c>
      <c r="O306" s="332">
        <v>0</v>
      </c>
      <c r="P306" s="332">
        <v>1</v>
      </c>
      <c r="Q306" s="129"/>
      <c r="R306" s="4"/>
    </row>
    <row r="307" spans="1:18" hidden="1" outlineLevel="1">
      <c r="A307" s="4"/>
      <c r="B307" s="4"/>
      <c r="C307" s="7"/>
      <c r="D307" s="313" t="s">
        <v>981</v>
      </c>
      <c r="E307" s="16" t="s">
        <v>1365</v>
      </c>
      <c r="F307" s="330">
        <v>0.999</v>
      </c>
      <c r="G307" s="331">
        <f>(E283) - Table472590135[[#This Row],[SLA]]*(E283)</f>
        <v>0</v>
      </c>
      <c r="H307" s="331">
        <f>(24*E283) - Table472590135[[#This Row],[SLA]]*(24*E283)</f>
        <v>0</v>
      </c>
      <c r="I307" s="331">
        <f>Table472590135[[#This Row],[Downtime/Year (Hours)]]*60</f>
        <v>0</v>
      </c>
      <c r="J307" s="331">
        <f>Table472590135[[#This Row],[Downtime/Month (Hours)]]/24</f>
        <v>0</v>
      </c>
      <c r="K307" s="331">
        <f>Table472590135[[#This Row],[Downtime/Year (Hours)]]/12</f>
        <v>0</v>
      </c>
      <c r="L307" s="331">
        <f>Table472590135[[#This Row],[Downtime/Month (Hours)]]*60</f>
        <v>0</v>
      </c>
      <c r="M307" s="330">
        <v>0.5</v>
      </c>
      <c r="N307" s="330">
        <v>1</v>
      </c>
      <c r="O307" s="332">
        <v>0</v>
      </c>
      <c r="P307" s="332">
        <v>1</v>
      </c>
      <c r="Q307" s="129"/>
      <c r="R307" s="4"/>
    </row>
    <row r="308" spans="1:18" hidden="1" outlineLevel="1">
      <c r="A308" s="4"/>
      <c r="B308" s="4"/>
      <c r="C308" s="7"/>
      <c r="D308" s="16" t="s">
        <v>983</v>
      </c>
      <c r="E308" s="16" t="s">
        <v>1365</v>
      </c>
      <c r="F308" s="330">
        <v>0.99950000000000006</v>
      </c>
      <c r="G308" s="331">
        <f>(E283) - Table472590135[[#This Row],[SLA]]*(E283)</f>
        <v>0</v>
      </c>
      <c r="H308" s="331">
        <f>(24*E283) - Table472590135[[#This Row],[SLA]]*(24*E283)</f>
        <v>0</v>
      </c>
      <c r="I308" s="331">
        <f>Table472590135[[#This Row],[Downtime/Year (Hours)]]*60</f>
        <v>0</v>
      </c>
      <c r="J308" s="331">
        <f>Table472590135[[#This Row],[Downtime/Month (Hours)]]/24</f>
        <v>0</v>
      </c>
      <c r="K308" s="331">
        <f>Table472590135[[#This Row],[Downtime/Year (Hours)]]/12</f>
        <v>0</v>
      </c>
      <c r="L308" s="331">
        <f>Table472590135[[#This Row],[Downtime/Month (Hours)]]*60</f>
        <v>0</v>
      </c>
      <c r="M308" s="330">
        <v>0.66</v>
      </c>
      <c r="N308" s="330">
        <v>1</v>
      </c>
      <c r="O308" s="332">
        <v>1</v>
      </c>
      <c r="P308" s="332">
        <v>8</v>
      </c>
      <c r="Q308" s="129"/>
      <c r="R308" s="4"/>
    </row>
    <row r="309" spans="1:18" hidden="1" outlineLevel="1">
      <c r="A309" s="4"/>
      <c r="B309" s="4"/>
      <c r="C309" s="7"/>
      <c r="D309" s="16" t="s">
        <v>1369</v>
      </c>
      <c r="E309" s="16"/>
      <c r="F309" s="330">
        <f>F304*F305*F306*F307*F308</f>
        <v>0.99790144962502514</v>
      </c>
      <c r="G309" s="331">
        <f>(E283) - Table472590135[[#This Row],[SLA]]*(E283)</f>
        <v>0</v>
      </c>
      <c r="H309" s="331">
        <f>(24*E283) - Table472590135[[#This Row],[SLA]]*(24*E283)</f>
        <v>0</v>
      </c>
      <c r="I309" s="331">
        <f>Table472590135[[#This Row],[Downtime/Year (Hours)]]*60</f>
        <v>0</v>
      </c>
      <c r="J309" s="331">
        <f>Table472590135[[#This Row],[Downtime/Month (Hours)]]/24</f>
        <v>0</v>
      </c>
      <c r="K309" s="331">
        <f>Table472590135[[#This Row],[Downtime/Year (Hours)]]/12</f>
        <v>0</v>
      </c>
      <c r="L309" s="331">
        <f>Table472590135[[#This Row],[Downtime/Month (Hours)]]*60</f>
        <v>0</v>
      </c>
      <c r="M309" s="330">
        <f>M304*M305*M306*M307*M308</f>
        <v>4.1250000000000002E-2</v>
      </c>
      <c r="N309" s="330">
        <f>N304*N305*N306*N307*N308</f>
        <v>1</v>
      </c>
      <c r="O309" s="332">
        <f>MAX(O304:O308)</f>
        <v>1</v>
      </c>
      <c r="P309" s="332">
        <f>MAX(P304:P308)</f>
        <v>8</v>
      </c>
      <c r="Q309" s="130"/>
      <c r="R309" s="4"/>
    </row>
    <row r="310" spans="1:18" hidden="1" outlineLevel="1">
      <c r="A310" s="4"/>
      <c r="B310" s="4"/>
      <c r="C310" s="7"/>
      <c r="D310" s="7"/>
      <c r="E310" s="7"/>
      <c r="F310" s="7"/>
      <c r="G310" s="7"/>
      <c r="H310" s="7"/>
      <c r="I310" s="7"/>
      <c r="J310" s="7"/>
      <c r="K310" s="7"/>
      <c r="L310" s="7"/>
      <c r="M310" s="7"/>
      <c r="N310" s="7"/>
      <c r="O310" s="7"/>
      <c r="P310" s="7"/>
      <c r="Q310" s="7"/>
      <c r="R310" s="4"/>
    </row>
    <row r="311" spans="1:18" hidden="1" outlineLevel="1">
      <c r="A311" s="4"/>
      <c r="B311" s="4"/>
      <c r="C311" s="4"/>
      <c r="D311" s="4"/>
      <c r="E311" s="4"/>
      <c r="F311" s="4"/>
      <c r="G311" s="4"/>
      <c r="H311" s="4"/>
      <c r="I311" s="4"/>
      <c r="J311" s="4"/>
      <c r="K311" s="4"/>
      <c r="L311" s="4"/>
      <c r="M311" s="4"/>
      <c r="N311" s="4"/>
      <c r="O311" s="4"/>
      <c r="P311" s="4"/>
      <c r="Q311" s="4"/>
      <c r="R311" s="4"/>
    </row>
    <row r="312" spans="1:18" ht="18.600000000000001" hidden="1" outlineLevel="1">
      <c r="A312" s="102"/>
      <c r="B312" s="102"/>
      <c r="C312" s="562" t="s">
        <v>1463</v>
      </c>
      <c r="D312" s="102"/>
      <c r="E312" s="102"/>
      <c r="F312" s="102"/>
      <c r="G312" s="102"/>
      <c r="H312" s="102"/>
      <c r="I312" s="102"/>
      <c r="J312" s="102"/>
      <c r="K312" s="102"/>
      <c r="L312" s="102"/>
      <c r="M312" s="102"/>
      <c r="N312" s="102"/>
      <c r="O312" s="102"/>
      <c r="P312" s="102"/>
      <c r="Q312" s="102"/>
      <c r="R312" s="4"/>
    </row>
    <row r="313" spans="1:18" ht="18.600000000000001" hidden="1" outlineLevel="1">
      <c r="A313" s="102"/>
      <c r="B313" s="102"/>
      <c r="C313" s="102"/>
      <c r="D313" s="102"/>
      <c r="E313" s="102"/>
      <c r="F313" s="102"/>
      <c r="G313" s="102"/>
      <c r="H313" s="102"/>
      <c r="I313" s="102"/>
      <c r="J313" s="102"/>
      <c r="K313" s="102"/>
      <c r="L313" s="102"/>
      <c r="M313" s="102"/>
      <c r="N313" s="102"/>
      <c r="O313" s="102"/>
      <c r="P313" s="102"/>
      <c r="Q313" s="102"/>
      <c r="R313" s="4"/>
    </row>
    <row r="314" spans="1:18" ht="18.600000000000001" hidden="1" outlineLevel="1">
      <c r="A314" s="102"/>
      <c r="B314" s="102"/>
      <c r="C314" s="131"/>
      <c r="D314" s="131"/>
      <c r="E314" s="131"/>
      <c r="F314" s="131"/>
      <c r="G314" s="131"/>
      <c r="H314" s="131"/>
      <c r="I314" s="131"/>
      <c r="J314" s="131"/>
      <c r="K314" s="131"/>
      <c r="L314" s="131"/>
      <c r="M314" s="131"/>
      <c r="N314" s="131"/>
      <c r="O314" s="131"/>
      <c r="P314" s="131"/>
      <c r="Q314" s="131"/>
      <c r="R314" s="4"/>
    </row>
    <row r="315" spans="1:18" ht="29.1" hidden="1" outlineLevel="1">
      <c r="A315" s="4"/>
      <c r="B315" s="4"/>
      <c r="C315" s="7"/>
      <c r="D315" s="18" t="s">
        <v>1450</v>
      </c>
      <c r="E315" s="18" t="s">
        <v>1116</v>
      </c>
      <c r="F315" s="18" t="s">
        <v>207</v>
      </c>
      <c r="G315" s="18" t="s">
        <v>1347</v>
      </c>
      <c r="H315" s="18" t="s">
        <v>1348</v>
      </c>
      <c r="I315" s="18" t="s">
        <v>1349</v>
      </c>
      <c r="J315" s="18" t="s">
        <v>1350</v>
      </c>
      <c r="K315" s="18" t="s">
        <v>1351</v>
      </c>
      <c r="L315" s="18" t="s">
        <v>1352</v>
      </c>
      <c r="M315" s="18" t="s">
        <v>1353</v>
      </c>
      <c r="N315" s="18" t="s">
        <v>1354</v>
      </c>
      <c r="O315" s="18" t="s">
        <v>1362</v>
      </c>
      <c r="P315" s="18" t="s">
        <v>1363</v>
      </c>
      <c r="Q315" s="54"/>
      <c r="R315" s="4"/>
    </row>
    <row r="316" spans="1:18" ht="16.5" hidden="1" outlineLevel="1">
      <c r="A316" s="4"/>
      <c r="B316" s="4"/>
      <c r="C316" s="7"/>
      <c r="D316" s="16" t="s">
        <v>1364</v>
      </c>
      <c r="E316" s="16" t="s">
        <v>1365</v>
      </c>
      <c r="F316" s="330">
        <v>0.99990000000000001</v>
      </c>
      <c r="G316" s="331">
        <f>(E283) - Table47258588133[[#This Row],[SLA]]*(E283)</f>
        <v>0</v>
      </c>
      <c r="H316" s="331">
        <f>(24*E283) - Table47258588133[[#This Row],[SLA]]*(24*E283)</f>
        <v>0</v>
      </c>
      <c r="I316" s="331">
        <f>Table47258588133[[#This Row],[Downtime/Year (Hours)]]*60</f>
        <v>0</v>
      </c>
      <c r="J316" s="331">
        <f>Table47258588133[[#This Row],[Downtime/Month (Hours)]]/24</f>
        <v>0</v>
      </c>
      <c r="K316" s="331">
        <f>Table47258588133[[#This Row],[Downtime/Year (Hours)]]/12</f>
        <v>0</v>
      </c>
      <c r="L316" s="331">
        <f>Table47258588133[[#This Row],[Downtime/Month (Hours)]]*60</f>
        <v>0</v>
      </c>
      <c r="M316" s="330">
        <v>0.5</v>
      </c>
      <c r="N316" s="330">
        <v>1</v>
      </c>
      <c r="O316" s="332">
        <v>0</v>
      </c>
      <c r="P316" s="332">
        <v>1</v>
      </c>
      <c r="Q316" s="129"/>
      <c r="R316" s="4"/>
    </row>
    <row r="317" spans="1:18" hidden="1" outlineLevel="1">
      <c r="A317" s="4"/>
      <c r="B317" s="4"/>
      <c r="C317" s="7"/>
      <c r="D317" s="16" t="s">
        <v>977</v>
      </c>
      <c r="E317" s="16" t="s">
        <v>1365</v>
      </c>
      <c r="F317" s="330">
        <v>1</v>
      </c>
      <c r="G317" s="331">
        <f>(E283) - Table47258588133[[#This Row],[SLA]]*(E283)</f>
        <v>0</v>
      </c>
      <c r="H317" s="331">
        <f>(24*E283) - Table47258588133[[#This Row],[SLA]]*(24*E283)</f>
        <v>0</v>
      </c>
      <c r="I317" s="331">
        <f>Table47258588133[[#This Row],[Downtime/Year (Hours)]]*60</f>
        <v>0</v>
      </c>
      <c r="J317" s="331">
        <f>Table47258588133[[#This Row],[Downtime/Month (Hours)]]/24</f>
        <v>0</v>
      </c>
      <c r="K317" s="331">
        <f>Table47258588133[[#This Row],[Downtime/Year (Hours)]]/12</f>
        <v>0</v>
      </c>
      <c r="L317" s="331">
        <f>Table47258588133[[#This Row],[Downtime/Month (Hours)]]*60</f>
        <v>0</v>
      </c>
      <c r="M317" s="330">
        <v>0.5</v>
      </c>
      <c r="N317" s="330">
        <v>1</v>
      </c>
      <c r="O317" s="332">
        <v>0</v>
      </c>
      <c r="P317" s="332">
        <v>1</v>
      </c>
      <c r="Q317" s="129"/>
      <c r="R317" s="4"/>
    </row>
    <row r="318" spans="1:18" hidden="1" outlineLevel="1">
      <c r="A318" s="4"/>
      <c r="B318" s="4"/>
      <c r="C318" s="7"/>
      <c r="D318" s="333" t="s">
        <v>978</v>
      </c>
      <c r="E318" s="16" t="s">
        <v>1365</v>
      </c>
      <c r="F318" s="330">
        <v>0.99990000000000001</v>
      </c>
      <c r="G318" s="331">
        <f>(E283) - Table47258588133[[#This Row],[SLA]]*(E283)</f>
        <v>0</v>
      </c>
      <c r="H318" s="331">
        <f>(24*E283) - Table47258588133[[#This Row],[SLA]]*(24*E283)</f>
        <v>0</v>
      </c>
      <c r="I318" s="331">
        <f>Table47258588133[[#This Row],[Downtime/Year (Hours)]]*60</f>
        <v>0</v>
      </c>
      <c r="J318" s="331">
        <f>Table47258588133[[#This Row],[Downtime/Month (Hours)]]/24</f>
        <v>0</v>
      </c>
      <c r="K318" s="331">
        <f>Table47258588133[[#This Row],[Downtime/Year (Hours)]]/12</f>
        <v>0</v>
      </c>
      <c r="L318" s="331">
        <f>Table47258588133[[#This Row],[Downtime/Month (Hours)]]*60</f>
        <v>0</v>
      </c>
      <c r="M318" s="330">
        <v>1</v>
      </c>
      <c r="N318" s="330">
        <v>1</v>
      </c>
      <c r="O318" s="332">
        <v>0</v>
      </c>
      <c r="P318" s="332">
        <v>1</v>
      </c>
      <c r="Q318" s="132"/>
      <c r="R318" s="4"/>
    </row>
    <row r="319" spans="1:18" hidden="1" outlineLevel="1">
      <c r="A319" s="4"/>
      <c r="B319" s="4"/>
      <c r="C319" s="7"/>
      <c r="D319" s="16" t="s">
        <v>975</v>
      </c>
      <c r="E319" s="16" t="s">
        <v>1365</v>
      </c>
      <c r="F319" s="330">
        <v>0.99950000000000006</v>
      </c>
      <c r="G319" s="331">
        <f>(E283) - Table47258588133[[#This Row],[SLA]]*(E283)</f>
        <v>0</v>
      </c>
      <c r="H319" s="331">
        <f>(24*E283) - Table47258588133[[#This Row],[SLA]]*(24*E283)</f>
        <v>0</v>
      </c>
      <c r="I319" s="331">
        <f>Table47258588133[[#This Row],[Downtime/Year (Hours)]]*60</f>
        <v>0</v>
      </c>
      <c r="J319" s="331">
        <f>Table47258588133[[#This Row],[Downtime/Month (Hours)]]/24</f>
        <v>0</v>
      </c>
      <c r="K319" s="331">
        <f>Table47258588133[[#This Row],[Downtime/Year (Hours)]]/12</f>
        <v>0</v>
      </c>
      <c r="L319" s="331">
        <f>Table47258588133[[#This Row],[Downtime/Month (Hours)]]*60</f>
        <v>0</v>
      </c>
      <c r="M319" s="330">
        <v>0.5</v>
      </c>
      <c r="N319" s="330">
        <v>1</v>
      </c>
      <c r="O319" s="332">
        <v>0</v>
      </c>
      <c r="P319" s="332">
        <v>1</v>
      </c>
      <c r="Q319" s="132"/>
      <c r="R319" s="4"/>
    </row>
    <row r="320" spans="1:18" hidden="1" outlineLevel="1">
      <c r="A320" s="4"/>
      <c r="B320" s="4"/>
      <c r="C320" s="7"/>
      <c r="D320" s="313" t="s">
        <v>981</v>
      </c>
      <c r="E320" s="16" t="s">
        <v>1365</v>
      </c>
      <c r="F320" s="330">
        <v>0.999</v>
      </c>
      <c r="G320" s="331">
        <f>(E283) - Table47258588133[[#This Row],[SLA]]*(E283)</f>
        <v>0</v>
      </c>
      <c r="H320" s="331">
        <f>(24*E283) - Table47258588133[[#This Row],[SLA]]*(24*E283)</f>
        <v>0</v>
      </c>
      <c r="I320" s="331">
        <f>Table47258588133[[#This Row],[Downtime/Year (Hours)]]*60</f>
        <v>0</v>
      </c>
      <c r="J320" s="331">
        <f>Table47258588133[[#This Row],[Downtime/Month (Hours)]]/24</f>
        <v>0</v>
      </c>
      <c r="K320" s="331">
        <f>Table47258588133[[#This Row],[Downtime/Year (Hours)]]/12</f>
        <v>0</v>
      </c>
      <c r="L320" s="331">
        <f>Table47258588133[[#This Row],[Downtime/Month (Hours)]]*60</f>
        <v>0</v>
      </c>
      <c r="M320" s="330">
        <v>0.5</v>
      </c>
      <c r="N320" s="330">
        <v>1</v>
      </c>
      <c r="O320" s="332">
        <v>0</v>
      </c>
      <c r="P320" s="332">
        <v>1</v>
      </c>
      <c r="Q320" s="132"/>
      <c r="R320" s="4"/>
    </row>
    <row r="321" spans="1:18" hidden="1" outlineLevel="1">
      <c r="A321" s="4"/>
      <c r="B321" s="4"/>
      <c r="C321" s="7"/>
      <c r="D321" s="16" t="s">
        <v>983</v>
      </c>
      <c r="E321" s="16" t="s">
        <v>1365</v>
      </c>
      <c r="F321" s="330">
        <v>0.99999000000000005</v>
      </c>
      <c r="G321" s="331">
        <f>(E283) - Table47258588133[[#This Row],[SLA]]*(E283)</f>
        <v>0</v>
      </c>
      <c r="H321" s="331">
        <f>(24*E283) - Table47258588133[[#This Row],[SLA]]*(24*E283)</f>
        <v>0</v>
      </c>
      <c r="I321" s="331">
        <f>Table47258588133[[#This Row],[Downtime/Year (Hours)]]*60</f>
        <v>0</v>
      </c>
      <c r="J321" s="331">
        <f>Table47258588133[[#This Row],[Downtime/Month (Hours)]]/24</f>
        <v>0</v>
      </c>
      <c r="K321" s="331">
        <f>Table47258588133[[#This Row],[Downtime/Year (Hours)]]/12</f>
        <v>0</v>
      </c>
      <c r="L321" s="331">
        <f>Table47258588133[[#This Row],[Downtime/Month (Hours)]]*60</f>
        <v>0</v>
      </c>
      <c r="M321" s="330">
        <v>0.66</v>
      </c>
      <c r="N321" s="330">
        <v>1</v>
      </c>
      <c r="O321" s="332">
        <v>1</v>
      </c>
      <c r="P321" s="332">
        <v>8</v>
      </c>
      <c r="Q321" s="129"/>
      <c r="R321" s="4"/>
    </row>
    <row r="322" spans="1:18" hidden="1" outlineLevel="1">
      <c r="A322" s="4"/>
      <c r="B322" s="4"/>
      <c r="C322" s="7"/>
      <c r="D322" s="16" t="s">
        <v>1369</v>
      </c>
      <c r="E322" s="16"/>
      <c r="F322" s="330">
        <f>F316*F317*F318*F319*F320*F321</f>
        <v>0.99829082687690618</v>
      </c>
      <c r="G322" s="331">
        <f>(E283) - Table47258588133[[#This Row],[SLA]]*(E283)</f>
        <v>0</v>
      </c>
      <c r="H322" s="331">
        <f>(24*E283) - Table47258588133[[#This Row],[SLA]]*(24*E283)</f>
        <v>0</v>
      </c>
      <c r="I322" s="331">
        <f>Table47258588133[[#This Row],[Downtime/Year (Hours)]]*60</f>
        <v>0</v>
      </c>
      <c r="J322" s="331">
        <f>Table47258588133[[#This Row],[Downtime/Month (Hours)]]/24</f>
        <v>0</v>
      </c>
      <c r="K322" s="331">
        <f>Table47258588133[[#This Row],[Downtime/Year (Hours)]]/12</f>
        <v>0</v>
      </c>
      <c r="L322" s="331">
        <f>Table47258588133[[#This Row],[Downtime/Month (Hours)]]*60</f>
        <v>0</v>
      </c>
      <c r="M322" s="330">
        <f>M316*M317*M318*M319*M320*M321</f>
        <v>4.1250000000000002E-2</v>
      </c>
      <c r="N322" s="330">
        <f>N316*N317*N318*N319*N320*N321</f>
        <v>1</v>
      </c>
      <c r="O322" s="332">
        <f>MAX(O316:O321)</f>
        <v>1</v>
      </c>
      <c r="P322" s="332">
        <f>MAX(P316:P321)</f>
        <v>8</v>
      </c>
      <c r="Q322" s="130"/>
      <c r="R322" s="4"/>
    </row>
    <row r="323" spans="1:18" hidden="1" outlineLevel="1">
      <c r="A323" s="4"/>
      <c r="B323" s="4"/>
      <c r="C323" s="7"/>
      <c r="D323" s="7"/>
      <c r="E323" s="7"/>
      <c r="F323" s="7"/>
      <c r="G323" s="7"/>
      <c r="H323" s="7"/>
      <c r="I323" s="7"/>
      <c r="J323" s="7"/>
      <c r="K323" s="7"/>
      <c r="L323" s="7"/>
      <c r="M323" s="7"/>
      <c r="N323" s="7"/>
      <c r="O323" s="7"/>
      <c r="P323" s="7"/>
      <c r="Q323" s="7"/>
      <c r="R323" s="4"/>
    </row>
    <row r="324" spans="1:18" collapsed="1">
      <c r="A324" s="4"/>
      <c r="B324" s="4"/>
      <c r="C324" s="4"/>
      <c r="D324" s="4"/>
      <c r="E324" s="4"/>
      <c r="F324" s="4"/>
      <c r="G324" s="4"/>
      <c r="H324" s="4"/>
      <c r="I324" s="4"/>
      <c r="J324" s="4"/>
      <c r="K324" s="4"/>
      <c r="L324" s="4"/>
      <c r="M324" s="4"/>
      <c r="N324" s="4"/>
      <c r="O324" s="4"/>
      <c r="P324" s="4"/>
      <c r="Q324" s="4"/>
      <c r="R324" s="4"/>
    </row>
    <row r="325" spans="1:18" ht="18.600000000000001">
      <c r="A325" s="4"/>
      <c r="B325" s="4"/>
      <c r="C325" s="102" t="s">
        <v>1376</v>
      </c>
      <c r="D325" s="102"/>
      <c r="E325" s="102"/>
      <c r="F325" s="102"/>
      <c r="G325" s="102"/>
      <c r="H325" s="102"/>
      <c r="I325" s="102"/>
      <c r="J325" s="102"/>
      <c r="K325" s="102"/>
      <c r="L325" s="102"/>
      <c r="M325" s="102"/>
      <c r="N325" s="102"/>
      <c r="O325" s="102"/>
      <c r="P325" s="102"/>
      <c r="Q325" s="102"/>
      <c r="R325" s="4"/>
    </row>
    <row r="326" spans="1:18" hidden="1" outlineLevel="1">
      <c r="A326" s="4"/>
      <c r="B326" s="4"/>
      <c r="C326" s="4"/>
      <c r="D326" s="4"/>
      <c r="E326" s="4"/>
      <c r="F326" s="4"/>
      <c r="G326" s="4"/>
      <c r="H326" s="4"/>
      <c r="I326" s="4"/>
      <c r="J326" s="4"/>
      <c r="K326" s="4"/>
      <c r="L326" s="4"/>
      <c r="M326" s="4"/>
      <c r="N326" s="4"/>
      <c r="O326" s="4"/>
      <c r="P326" s="4"/>
      <c r="Q326" s="4"/>
      <c r="R326" s="4"/>
    </row>
    <row r="327" spans="1:18" hidden="1" outlineLevel="1">
      <c r="A327" s="4"/>
      <c r="B327" s="4"/>
      <c r="C327" s="7"/>
      <c r="D327" s="7"/>
      <c r="E327" s="7"/>
      <c r="F327" s="7"/>
      <c r="G327" s="7"/>
      <c r="H327" s="7"/>
      <c r="I327" s="7"/>
      <c r="J327" s="7"/>
      <c r="K327" s="7"/>
      <c r="L327" s="7"/>
      <c r="M327" s="7"/>
      <c r="N327" s="7"/>
      <c r="O327" s="7"/>
      <c r="P327" s="7"/>
      <c r="Q327" s="7"/>
      <c r="R327" s="4"/>
    </row>
    <row r="328" spans="1:18" ht="29.1" hidden="1" outlineLevel="1">
      <c r="A328" s="4"/>
      <c r="B328" s="4"/>
      <c r="C328" s="7"/>
      <c r="D328" s="686" t="s">
        <v>1438</v>
      </c>
      <c r="E328" s="334" t="s">
        <v>1345</v>
      </c>
      <c r="F328" s="266" t="s">
        <v>1439</v>
      </c>
      <c r="G328" s="266" t="s">
        <v>1347</v>
      </c>
      <c r="H328" s="266" t="s">
        <v>1348</v>
      </c>
      <c r="I328" s="266" t="s">
        <v>1349</v>
      </c>
      <c r="J328" s="266" t="s">
        <v>1350</v>
      </c>
      <c r="K328" s="266" t="s">
        <v>1351</v>
      </c>
      <c r="L328" s="266" t="s">
        <v>1352</v>
      </c>
      <c r="M328" s="266" t="s">
        <v>1440</v>
      </c>
      <c r="N328" s="266" t="s">
        <v>1441</v>
      </c>
      <c r="O328" s="7"/>
      <c r="P328" s="7"/>
      <c r="Q328" s="7"/>
      <c r="R328" s="4"/>
    </row>
    <row r="329" spans="1:18" hidden="1" outlineLevel="1">
      <c r="A329" s="4"/>
      <c r="B329" s="4"/>
      <c r="C329" s="7"/>
      <c r="D329" s="687"/>
      <c r="E329" s="335" t="s">
        <v>1442</v>
      </c>
      <c r="F329" s="334">
        <f t="shared" ref="F329:N329" si="23">F349</f>
        <v>0.99780165948006261</v>
      </c>
      <c r="G329" s="336">
        <f t="shared" si="23"/>
        <v>0</v>
      </c>
      <c r="H329" s="336">
        <f t="shared" si="23"/>
        <v>0</v>
      </c>
      <c r="I329" s="336">
        <f t="shared" si="23"/>
        <v>0</v>
      </c>
      <c r="J329" s="336">
        <f t="shared" si="23"/>
        <v>0</v>
      </c>
      <c r="K329" s="336">
        <f t="shared" si="23"/>
        <v>0</v>
      </c>
      <c r="L329" s="336">
        <f t="shared" si="23"/>
        <v>0</v>
      </c>
      <c r="M329" s="334">
        <f t="shared" si="23"/>
        <v>3.515625E-2</v>
      </c>
      <c r="N329" s="334">
        <f t="shared" si="23"/>
        <v>1</v>
      </c>
      <c r="O329" s="7"/>
      <c r="P329" s="7"/>
      <c r="Q329" s="7"/>
      <c r="R329" s="4"/>
    </row>
    <row r="330" spans="1:18" hidden="1" outlineLevel="1">
      <c r="A330" s="4"/>
      <c r="B330" s="4"/>
      <c r="C330" s="7"/>
      <c r="D330" s="687"/>
      <c r="E330" s="337" t="s">
        <v>1443</v>
      </c>
      <c r="F330" s="338">
        <f t="shared" ref="F330:N330" si="24">F363</f>
        <v>0.99780165948006261</v>
      </c>
      <c r="G330" s="336">
        <f t="shared" si="24"/>
        <v>0</v>
      </c>
      <c r="H330" s="336">
        <f t="shared" si="24"/>
        <v>0</v>
      </c>
      <c r="I330" s="336">
        <f t="shared" si="24"/>
        <v>0</v>
      </c>
      <c r="J330" s="336">
        <f t="shared" si="24"/>
        <v>0</v>
      </c>
      <c r="K330" s="336">
        <f t="shared" si="24"/>
        <v>0</v>
      </c>
      <c r="L330" s="336">
        <f t="shared" si="24"/>
        <v>0</v>
      </c>
      <c r="M330" s="334">
        <f t="shared" si="24"/>
        <v>3.515625E-2</v>
      </c>
      <c r="N330" s="334">
        <f t="shared" si="24"/>
        <v>1</v>
      </c>
      <c r="O330" s="7"/>
      <c r="P330" s="7"/>
      <c r="Q330" s="7"/>
      <c r="R330" s="4"/>
    </row>
    <row r="331" spans="1:18" hidden="1" outlineLevel="1">
      <c r="A331" s="4"/>
      <c r="B331" s="4"/>
      <c r="C331" s="7"/>
      <c r="D331" s="688"/>
      <c r="E331" s="337" t="s">
        <v>1444</v>
      </c>
      <c r="F331" s="338">
        <f>F330-F329</f>
        <v>0</v>
      </c>
      <c r="G331" s="336">
        <f>G330-G329</f>
        <v>0</v>
      </c>
      <c r="H331" s="336">
        <f>H330-H329</f>
        <v>0</v>
      </c>
      <c r="I331" s="336">
        <f t="shared" ref="I331:N331" si="25">I330-I329</f>
        <v>0</v>
      </c>
      <c r="J331" s="336">
        <f t="shared" si="25"/>
        <v>0</v>
      </c>
      <c r="K331" s="336">
        <f t="shared" si="25"/>
        <v>0</v>
      </c>
      <c r="L331" s="336">
        <f t="shared" si="25"/>
        <v>0</v>
      </c>
      <c r="M331" s="334">
        <f t="shared" si="25"/>
        <v>0</v>
      </c>
      <c r="N331" s="334">
        <f t="shared" si="25"/>
        <v>0</v>
      </c>
      <c r="O331" s="7"/>
      <c r="P331" s="7"/>
      <c r="Q331" s="7"/>
      <c r="R331" s="4"/>
    </row>
    <row r="332" spans="1:18" hidden="1" outlineLevel="1">
      <c r="A332" s="4"/>
      <c r="B332" s="4"/>
      <c r="C332" s="7"/>
      <c r="D332" s="7"/>
      <c r="E332" s="7"/>
      <c r="F332" s="7"/>
      <c r="G332" s="7"/>
      <c r="H332" s="7"/>
      <c r="I332" s="7"/>
      <c r="J332" s="7"/>
      <c r="K332" s="7"/>
      <c r="L332" s="7"/>
      <c r="M332" s="7"/>
      <c r="N332" s="7"/>
      <c r="O332" s="7"/>
      <c r="P332" s="7"/>
      <c r="Q332" s="7"/>
      <c r="R332" s="4"/>
    </row>
    <row r="333" spans="1:18" hidden="1" outlineLevel="1">
      <c r="A333" s="4"/>
      <c r="B333" s="4"/>
      <c r="C333" s="7"/>
      <c r="D333" s="124" t="s">
        <v>1445</v>
      </c>
      <c r="E333" s="7"/>
      <c r="F333" s="7"/>
      <c r="G333" s="7"/>
      <c r="H333" s="7"/>
      <c r="I333" s="7"/>
      <c r="J333" s="7"/>
      <c r="K333" s="7"/>
      <c r="L333" s="7"/>
      <c r="M333" s="7"/>
      <c r="N333" s="7"/>
      <c r="O333" s="7"/>
      <c r="P333" s="7"/>
      <c r="Q333" s="7"/>
      <c r="R333" s="4"/>
    </row>
    <row r="334" spans="1:18" hidden="1" outlineLevel="1">
      <c r="A334" s="4"/>
      <c r="B334" s="4"/>
      <c r="C334" s="7"/>
      <c r="D334" s="125" t="s">
        <v>1446</v>
      </c>
      <c r="E334" s="7"/>
      <c r="F334" s="7"/>
      <c r="G334" s="7"/>
      <c r="H334" s="7"/>
      <c r="I334" s="7"/>
      <c r="J334" s="7"/>
      <c r="K334" s="7"/>
      <c r="L334" s="7"/>
      <c r="M334" s="7"/>
      <c r="N334" s="7"/>
      <c r="O334" s="7"/>
      <c r="P334" s="7"/>
      <c r="Q334" s="7"/>
      <c r="R334" s="4"/>
    </row>
    <row r="335" spans="1:18" hidden="1" outlineLevel="1">
      <c r="A335" s="4"/>
      <c r="B335" s="4"/>
      <c r="C335" s="7"/>
      <c r="D335" s="127" t="s">
        <v>1447</v>
      </c>
      <c r="E335" s="7"/>
      <c r="F335" s="7"/>
      <c r="G335" s="7"/>
      <c r="H335" s="7"/>
      <c r="I335" s="7"/>
      <c r="J335" s="7"/>
      <c r="K335" s="7"/>
      <c r="L335" s="7"/>
      <c r="M335" s="7"/>
      <c r="N335" s="7"/>
      <c r="O335" s="7"/>
      <c r="P335" s="7"/>
      <c r="Q335" s="7"/>
      <c r="R335" s="4"/>
    </row>
    <row r="336" spans="1:18" hidden="1" outlineLevel="1">
      <c r="A336" s="4"/>
      <c r="B336" s="4"/>
      <c r="C336" s="7"/>
      <c r="D336" s="126" t="s">
        <v>1448</v>
      </c>
      <c r="E336" s="7"/>
      <c r="F336" s="7"/>
      <c r="G336" s="7"/>
      <c r="H336" s="7"/>
      <c r="I336" s="7"/>
      <c r="J336" s="7"/>
      <c r="K336" s="7"/>
      <c r="L336" s="7"/>
      <c r="M336" s="7"/>
      <c r="N336" s="7"/>
      <c r="O336" s="7"/>
      <c r="P336" s="7"/>
      <c r="Q336" s="7"/>
      <c r="R336" s="4"/>
    </row>
    <row r="337" spans="1:18" hidden="1" outlineLevel="1">
      <c r="A337" s="4"/>
      <c r="B337" s="4"/>
      <c r="C337" s="7"/>
      <c r="D337" s="235"/>
      <c r="E337" s="7"/>
      <c r="F337" s="7"/>
      <c r="G337" s="7"/>
      <c r="H337" s="7"/>
      <c r="I337" s="7"/>
      <c r="J337" s="7"/>
      <c r="K337" s="7"/>
      <c r="L337" s="7"/>
      <c r="M337" s="7"/>
      <c r="N337" s="7"/>
      <c r="O337" s="7"/>
      <c r="P337" s="7"/>
      <c r="Q337" s="7"/>
      <c r="R337" s="4"/>
    </row>
    <row r="338" spans="1:18" hidden="1" outlineLevel="1">
      <c r="A338" s="4"/>
      <c r="B338" s="4"/>
      <c r="C338" s="4"/>
      <c r="D338" s="11"/>
      <c r="E338" s="11"/>
      <c r="F338" s="4"/>
      <c r="G338" s="4"/>
      <c r="H338" s="4"/>
      <c r="I338" s="4"/>
      <c r="J338" s="4"/>
      <c r="K338" s="4"/>
      <c r="L338" s="4"/>
      <c r="M338" s="4"/>
      <c r="N338" s="4"/>
      <c r="O338" s="4"/>
      <c r="P338" s="4"/>
      <c r="Q338" s="4"/>
      <c r="R338" s="4"/>
    </row>
    <row r="339" spans="1:18" ht="18.600000000000001" hidden="1" outlineLevel="1">
      <c r="A339" s="101"/>
      <c r="B339" s="101"/>
      <c r="C339" s="562" t="s">
        <v>1464</v>
      </c>
      <c r="D339" s="102"/>
      <c r="E339" s="101"/>
      <c r="F339" s="101"/>
      <c r="G339" s="101"/>
      <c r="H339" s="101"/>
      <c r="I339" s="101"/>
      <c r="J339" s="101"/>
      <c r="K339" s="101"/>
      <c r="L339" s="101"/>
      <c r="M339" s="101"/>
      <c r="N339" s="101"/>
      <c r="O339" s="101"/>
      <c r="P339" s="101"/>
      <c r="Q339" s="101"/>
      <c r="R339" s="4"/>
    </row>
    <row r="340" spans="1:18" hidden="1" outlineLevel="1">
      <c r="A340" s="4"/>
      <c r="B340" s="4"/>
      <c r="C340" s="4"/>
      <c r="D340" s="4"/>
      <c r="E340" s="4"/>
      <c r="F340" s="4"/>
      <c r="G340" s="4"/>
      <c r="H340" s="4"/>
      <c r="I340" s="4"/>
      <c r="J340" s="4"/>
      <c r="K340" s="4"/>
      <c r="L340" s="4"/>
      <c r="M340" s="4"/>
      <c r="N340" s="4"/>
      <c r="O340" s="4"/>
      <c r="P340" s="4"/>
      <c r="Q340" s="4"/>
      <c r="R340" s="4"/>
    </row>
    <row r="341" spans="1:18" hidden="1" outlineLevel="1">
      <c r="A341" s="4"/>
      <c r="B341" s="4"/>
      <c r="C341" s="7"/>
      <c r="D341" s="7"/>
      <c r="E341" s="7"/>
      <c r="F341" s="7"/>
      <c r="G341" s="7"/>
      <c r="H341" s="7"/>
      <c r="I341" s="7"/>
      <c r="J341" s="7"/>
      <c r="K341" s="7"/>
      <c r="L341" s="7"/>
      <c r="M341" s="7"/>
      <c r="N341" s="7"/>
      <c r="O341" s="7"/>
      <c r="P341" s="7"/>
      <c r="Q341" s="7"/>
      <c r="R341" s="4"/>
    </row>
    <row r="342" spans="1:18" ht="29.1" hidden="1" outlineLevel="1">
      <c r="A342" s="4"/>
      <c r="B342" s="4"/>
      <c r="C342" s="7"/>
      <c r="D342" s="18" t="s">
        <v>1450</v>
      </c>
      <c r="E342" s="18" t="s">
        <v>1116</v>
      </c>
      <c r="F342" s="18" t="s">
        <v>207</v>
      </c>
      <c r="G342" s="18" t="s">
        <v>1347</v>
      </c>
      <c r="H342" s="18" t="s">
        <v>1348</v>
      </c>
      <c r="I342" s="18" t="s">
        <v>1349</v>
      </c>
      <c r="J342" s="18" t="s">
        <v>1350</v>
      </c>
      <c r="K342" s="18" t="s">
        <v>1351</v>
      </c>
      <c r="L342" s="18" t="s">
        <v>1352</v>
      </c>
      <c r="M342" s="18" t="s">
        <v>1353</v>
      </c>
      <c r="N342" s="18" t="s">
        <v>1354</v>
      </c>
      <c r="O342" s="18" t="s">
        <v>1362</v>
      </c>
      <c r="P342" s="18" t="s">
        <v>1363</v>
      </c>
      <c r="Q342" s="54"/>
      <c r="R342" s="4"/>
    </row>
    <row r="343" spans="1:18" ht="16.5" hidden="1" outlineLevel="1">
      <c r="A343" s="4"/>
      <c r="B343" s="4"/>
      <c r="C343" s="7"/>
      <c r="D343" s="16" t="s">
        <v>1364</v>
      </c>
      <c r="E343" s="16" t="s">
        <v>1365</v>
      </c>
      <c r="F343" s="330">
        <v>0.99990000000000001</v>
      </c>
      <c r="G343" s="331">
        <f>(E322) - Table472590138[[#This Row],[SLA]]*(E322)</f>
        <v>0</v>
      </c>
      <c r="H343" s="331">
        <f>(24*E322) - Table472590138[[#This Row],[SLA]]*(24*E322)</f>
        <v>0</v>
      </c>
      <c r="I343" s="331">
        <f>Table472590138[[#This Row],[Downtime/Year (Hours)]]*60</f>
        <v>0</v>
      </c>
      <c r="J343" s="331">
        <f>Table472590138[[#This Row],[Downtime/Month (Hours)]]/24</f>
        <v>0</v>
      </c>
      <c r="K343" s="331">
        <f>Table472590138[[#This Row],[Downtime/Year (Hours)]]/12</f>
        <v>0</v>
      </c>
      <c r="L343" s="331">
        <f>Table472590138[[#This Row],[Downtime/Month (Hours)]]*60</f>
        <v>0</v>
      </c>
      <c r="M343" s="330">
        <v>0.5</v>
      </c>
      <c r="N343" s="330">
        <v>1</v>
      </c>
      <c r="O343" s="332">
        <v>0</v>
      </c>
      <c r="P343" s="332">
        <v>1</v>
      </c>
      <c r="Q343" s="129"/>
      <c r="R343" s="4"/>
    </row>
    <row r="344" spans="1:18" hidden="1" outlineLevel="1">
      <c r="A344" s="4"/>
      <c r="B344" s="4"/>
      <c r="C344" s="7"/>
      <c r="D344" s="16" t="s">
        <v>977</v>
      </c>
      <c r="E344" s="16" t="s">
        <v>1365</v>
      </c>
      <c r="F344" s="330">
        <v>1</v>
      </c>
      <c r="G344" s="331">
        <f>(E322) - Table472590138[[#This Row],[SLA]]*(E322)</f>
        <v>0</v>
      </c>
      <c r="H344" s="331">
        <f>(24*E322) - Table472590138[[#This Row],[SLA]]*(24*E322)</f>
        <v>0</v>
      </c>
      <c r="I344" s="331">
        <f>Table472590138[[#This Row],[Downtime/Year (Hours)]]*60</f>
        <v>0</v>
      </c>
      <c r="J344" s="331">
        <f>Table472590138[[#This Row],[Downtime/Month (Hours)]]/24</f>
        <v>0</v>
      </c>
      <c r="K344" s="331">
        <f>Table472590138[[#This Row],[Downtime/Year (Hours)]]/12</f>
        <v>0</v>
      </c>
      <c r="L344" s="331">
        <f>Table472590138[[#This Row],[Downtime/Month (Hours)]]*60</f>
        <v>0</v>
      </c>
      <c r="M344" s="330">
        <v>0.5</v>
      </c>
      <c r="N344" s="330">
        <v>1</v>
      </c>
      <c r="O344" s="332">
        <v>0</v>
      </c>
      <c r="P344" s="332">
        <v>1</v>
      </c>
      <c r="Q344" s="129"/>
      <c r="R344" s="4"/>
    </row>
    <row r="345" spans="1:18" hidden="1" outlineLevel="1">
      <c r="A345" s="4"/>
      <c r="B345" s="4"/>
      <c r="C345" s="7"/>
      <c r="D345" s="16" t="s">
        <v>975</v>
      </c>
      <c r="E345" s="16" t="s">
        <v>1365</v>
      </c>
      <c r="F345" s="330">
        <v>0.99950000000000006</v>
      </c>
      <c r="G345" s="331">
        <f>(E322) - Table472590138[[#This Row],[SLA]]*(E322)</f>
        <v>0</v>
      </c>
      <c r="H345" s="331">
        <f>(24*E322) - Table472590138[[#This Row],[SLA]]*(24*E322)</f>
        <v>0</v>
      </c>
      <c r="I345" s="331">
        <f>Table472590138[[#This Row],[Downtime/Year (Hours)]]*60</f>
        <v>0</v>
      </c>
      <c r="J345" s="331">
        <f>Table472590138[[#This Row],[Downtime/Month (Hours)]]/24</f>
        <v>0</v>
      </c>
      <c r="K345" s="331">
        <f>Table472590138[[#This Row],[Downtime/Year (Hours)]]/12</f>
        <v>0</v>
      </c>
      <c r="L345" s="331">
        <f>Table472590138[[#This Row],[Downtime/Month (Hours)]]*60</f>
        <v>0</v>
      </c>
      <c r="M345" s="330">
        <v>0.5</v>
      </c>
      <c r="N345" s="330">
        <v>1</v>
      </c>
      <c r="O345" s="332">
        <v>0</v>
      </c>
      <c r="P345" s="332">
        <v>1</v>
      </c>
      <c r="Q345" s="129"/>
      <c r="R345" s="4"/>
    </row>
    <row r="346" spans="1:18" hidden="1" outlineLevel="1">
      <c r="A346" s="4"/>
      <c r="B346" s="4"/>
      <c r="C346" s="7"/>
      <c r="D346" s="313" t="s">
        <v>981</v>
      </c>
      <c r="E346" s="16" t="s">
        <v>1365</v>
      </c>
      <c r="F346" s="330">
        <v>0.999</v>
      </c>
      <c r="G346" s="331">
        <f>(E322) - Table472590138[[#This Row],[SLA]]*(E322)</f>
        <v>0</v>
      </c>
      <c r="H346" s="331">
        <f>(24*E322) - Table472590138[[#This Row],[SLA]]*(24*E322)</f>
        <v>0</v>
      </c>
      <c r="I346" s="331">
        <f>Table472590138[[#This Row],[Downtime/Year (Hours)]]*60</f>
        <v>0</v>
      </c>
      <c r="J346" s="331">
        <f>Table472590138[[#This Row],[Downtime/Month (Hours)]]/24</f>
        <v>0</v>
      </c>
      <c r="K346" s="331">
        <f>Table472590138[[#This Row],[Downtime/Year (Hours)]]/12</f>
        <v>0</v>
      </c>
      <c r="L346" s="331">
        <f>Table472590138[[#This Row],[Downtime/Month (Hours)]]*60</f>
        <v>0</v>
      </c>
      <c r="M346" s="330">
        <v>0.5</v>
      </c>
      <c r="N346" s="330">
        <v>1</v>
      </c>
      <c r="O346" s="332">
        <v>0</v>
      </c>
      <c r="P346" s="332">
        <v>1</v>
      </c>
      <c r="Q346" s="129"/>
      <c r="R346" s="4"/>
    </row>
    <row r="347" spans="1:18" hidden="1" outlineLevel="1">
      <c r="A347" s="4"/>
      <c r="B347" s="4"/>
      <c r="C347" s="7"/>
      <c r="D347" s="16" t="s">
        <v>979</v>
      </c>
      <c r="E347" s="16" t="s">
        <v>1365</v>
      </c>
      <c r="F347" s="330">
        <v>0.99950000000000006</v>
      </c>
      <c r="G347" s="331">
        <f>(E322) - Table472590138[[#This Row],[SLA]]*(E322)</f>
        <v>0</v>
      </c>
      <c r="H347" s="331">
        <f>(24*E322) - Table472590138[[#This Row],[SLA]]*(24*E322)</f>
        <v>0</v>
      </c>
      <c r="I347" s="331">
        <f>Table472590138[[#This Row],[Downtime/Year (Hours)]]*60</f>
        <v>0</v>
      </c>
      <c r="J347" s="331">
        <f>Table472590138[[#This Row],[Downtime/Month (Hours)]]/24</f>
        <v>0</v>
      </c>
      <c r="K347" s="331">
        <f>Table472590138[[#This Row],[Downtime/Year (Hours)]]/12</f>
        <v>0</v>
      </c>
      <c r="L347" s="331">
        <f>Table472590138[[#This Row],[Downtime/Month (Hours)]]*60</f>
        <v>0</v>
      </c>
      <c r="M347" s="330">
        <v>0.75</v>
      </c>
      <c r="N347" s="330">
        <v>1</v>
      </c>
      <c r="O347" s="332">
        <v>0</v>
      </c>
      <c r="P347" s="332">
        <v>1</v>
      </c>
      <c r="Q347" s="129"/>
      <c r="R347" s="4"/>
    </row>
    <row r="348" spans="1:18" hidden="1" outlineLevel="1">
      <c r="A348" s="4"/>
      <c r="B348" s="4"/>
      <c r="C348" s="7"/>
      <c r="D348" s="16" t="s">
        <v>982</v>
      </c>
      <c r="E348" s="16" t="s">
        <v>1365</v>
      </c>
      <c r="F348" s="330">
        <v>0.99990000000000001</v>
      </c>
      <c r="G348" s="331">
        <f>(E322) - Table472590138[[#This Row],[SLA]]*(E322)</f>
        <v>0</v>
      </c>
      <c r="H348" s="331">
        <f>(24*E322) - Table472590138[[#This Row],[SLA]]*(24*E322)</f>
        <v>0</v>
      </c>
      <c r="I348" s="331">
        <f>Table472590138[[#This Row],[Downtime/Year (Hours)]]*60</f>
        <v>0</v>
      </c>
      <c r="J348" s="331">
        <f>Table472590138[[#This Row],[Downtime/Month (Hours)]]/24</f>
        <v>0</v>
      </c>
      <c r="K348" s="331">
        <f>Table472590138[[#This Row],[Downtime/Year (Hours)]]/12</f>
        <v>0</v>
      </c>
      <c r="L348" s="331">
        <f>Table472590138[[#This Row],[Downtime/Month (Hours)]]*60</f>
        <v>0</v>
      </c>
      <c r="M348" s="330">
        <v>0.75</v>
      </c>
      <c r="N348" s="330">
        <v>1</v>
      </c>
      <c r="O348" s="332">
        <v>1</v>
      </c>
      <c r="P348" s="332">
        <v>8</v>
      </c>
      <c r="Q348" s="129"/>
      <c r="R348" s="4"/>
    </row>
    <row r="349" spans="1:18" hidden="1" outlineLevel="1">
      <c r="A349" s="4"/>
      <c r="B349" s="4"/>
      <c r="C349" s="7"/>
      <c r="D349" s="16" t="s">
        <v>1369</v>
      </c>
      <c r="E349" s="16"/>
      <c r="F349" s="330">
        <f>F343*F344*F345*F346*F347*F348</f>
        <v>0.99780165948006261</v>
      </c>
      <c r="G349" s="331">
        <f>(E322) - Table472590138[[#This Row],[SLA]]*(E322)</f>
        <v>0</v>
      </c>
      <c r="H349" s="331">
        <f>(24*E322) - Table472590138[[#This Row],[SLA]]*(24*E322)</f>
        <v>0</v>
      </c>
      <c r="I349" s="331">
        <f>Table472590138[[#This Row],[Downtime/Year (Hours)]]*60</f>
        <v>0</v>
      </c>
      <c r="J349" s="331">
        <f>Table472590138[[#This Row],[Downtime/Month (Hours)]]/24</f>
        <v>0</v>
      </c>
      <c r="K349" s="331">
        <f>Table472590138[[#This Row],[Downtime/Year (Hours)]]/12</f>
        <v>0</v>
      </c>
      <c r="L349" s="331">
        <f>Table472590138[[#This Row],[Downtime/Month (Hours)]]*60</f>
        <v>0</v>
      </c>
      <c r="M349" s="330">
        <f>M343*M344*M345*M346*M347*M348</f>
        <v>3.515625E-2</v>
      </c>
      <c r="N349" s="330">
        <f>N343*N344*N345*N346*N347*N348</f>
        <v>1</v>
      </c>
      <c r="O349" s="332">
        <f>MAX(O343:O348)</f>
        <v>1</v>
      </c>
      <c r="P349" s="332">
        <f>MAX(P343:P348)</f>
        <v>8</v>
      </c>
      <c r="Q349" s="130"/>
      <c r="R349" s="4"/>
    </row>
    <row r="350" spans="1:18" hidden="1" outlineLevel="1">
      <c r="A350" s="4"/>
      <c r="B350" s="4"/>
      <c r="C350" s="7"/>
      <c r="D350" s="7"/>
      <c r="E350" s="7"/>
      <c r="F350" s="7"/>
      <c r="G350" s="7"/>
      <c r="H350" s="7"/>
      <c r="I350" s="7"/>
      <c r="J350" s="7"/>
      <c r="K350" s="7"/>
      <c r="L350" s="7"/>
      <c r="M350" s="7"/>
      <c r="N350" s="7"/>
      <c r="O350" s="7"/>
      <c r="P350" s="7"/>
      <c r="Q350" s="7"/>
      <c r="R350" s="4"/>
    </row>
    <row r="351" spans="1:18" hidden="1" outlineLevel="1">
      <c r="A351" s="4"/>
      <c r="B351" s="4"/>
      <c r="C351" s="4"/>
      <c r="D351" s="4"/>
      <c r="E351" s="4"/>
      <c r="F351" s="4"/>
      <c r="G351" s="4"/>
      <c r="H351" s="4"/>
      <c r="I351" s="4"/>
      <c r="J351" s="4"/>
      <c r="K351" s="4"/>
      <c r="L351" s="4"/>
      <c r="M351" s="4"/>
      <c r="N351" s="4"/>
      <c r="O351" s="4"/>
      <c r="P351" s="4"/>
      <c r="Q351" s="4"/>
      <c r="R351" s="4"/>
    </row>
    <row r="352" spans="1:18" ht="18.600000000000001" hidden="1" outlineLevel="1">
      <c r="A352" s="102"/>
      <c r="B352" s="102"/>
      <c r="C352" s="562" t="s">
        <v>1465</v>
      </c>
      <c r="D352" s="102"/>
      <c r="E352" s="102"/>
      <c r="F352" s="102"/>
      <c r="G352" s="102"/>
      <c r="H352" s="102"/>
      <c r="I352" s="102"/>
      <c r="J352" s="102"/>
      <c r="K352" s="102"/>
      <c r="L352" s="102"/>
      <c r="M352" s="102"/>
      <c r="N352" s="102"/>
      <c r="O352" s="102"/>
      <c r="P352" s="102"/>
      <c r="Q352" s="102"/>
      <c r="R352" s="4"/>
    </row>
    <row r="353" spans="1:18" ht="18.600000000000001" hidden="1" outlineLevel="1">
      <c r="A353" s="102"/>
      <c r="B353" s="102"/>
      <c r="C353" s="102"/>
      <c r="D353" s="102"/>
      <c r="E353" s="102"/>
      <c r="F353" s="102"/>
      <c r="G353" s="102"/>
      <c r="H353" s="102"/>
      <c r="I353" s="102"/>
      <c r="J353" s="102"/>
      <c r="K353" s="102"/>
      <c r="L353" s="102"/>
      <c r="M353" s="102"/>
      <c r="N353" s="102"/>
      <c r="O353" s="102"/>
      <c r="P353" s="102"/>
      <c r="Q353" s="102"/>
      <c r="R353" s="4"/>
    </row>
    <row r="354" spans="1:18" ht="18.600000000000001" hidden="1" outlineLevel="1">
      <c r="A354" s="102"/>
      <c r="B354" s="102"/>
      <c r="C354" s="131"/>
      <c r="D354" s="131"/>
      <c r="E354" s="131"/>
      <c r="F354" s="131"/>
      <c r="G354" s="131"/>
      <c r="H354" s="131"/>
      <c r="I354" s="131"/>
      <c r="J354" s="131"/>
      <c r="K354" s="131"/>
      <c r="L354" s="131"/>
      <c r="M354" s="131"/>
      <c r="N354" s="131"/>
      <c r="O354" s="131"/>
      <c r="P354" s="131"/>
      <c r="Q354" s="131"/>
      <c r="R354" s="4"/>
    </row>
    <row r="355" spans="1:18" ht="29.1" hidden="1" outlineLevel="1">
      <c r="A355" s="4"/>
      <c r="B355" s="4"/>
      <c r="C355" s="7"/>
      <c r="D355" s="18" t="s">
        <v>1450</v>
      </c>
      <c r="E355" s="18" t="s">
        <v>1116</v>
      </c>
      <c r="F355" s="18" t="s">
        <v>207</v>
      </c>
      <c r="G355" s="18" t="s">
        <v>1347</v>
      </c>
      <c r="H355" s="18" t="s">
        <v>1348</v>
      </c>
      <c r="I355" s="18" t="s">
        <v>1349</v>
      </c>
      <c r="J355" s="18" t="s">
        <v>1350</v>
      </c>
      <c r="K355" s="18" t="s">
        <v>1351</v>
      </c>
      <c r="L355" s="18" t="s">
        <v>1352</v>
      </c>
      <c r="M355" s="18" t="s">
        <v>1353</v>
      </c>
      <c r="N355" s="18" t="s">
        <v>1354</v>
      </c>
      <c r="O355" s="18" t="s">
        <v>1362</v>
      </c>
      <c r="P355" s="18" t="s">
        <v>1363</v>
      </c>
      <c r="Q355" s="54"/>
      <c r="R355" s="4"/>
    </row>
    <row r="356" spans="1:18" ht="16.5" hidden="1" outlineLevel="1">
      <c r="A356" s="4"/>
      <c r="B356" s="4"/>
      <c r="C356" s="7"/>
      <c r="D356" s="16" t="s">
        <v>1364</v>
      </c>
      <c r="E356" s="16" t="s">
        <v>1365</v>
      </c>
      <c r="F356" s="330">
        <v>0.99990000000000001</v>
      </c>
      <c r="G356" s="331">
        <f>(E322) - Table47258588136[[#This Row],[SLA]]*(E322)</f>
        <v>0</v>
      </c>
      <c r="H356" s="331">
        <f>(24*E322) - Table47258588136[[#This Row],[SLA]]*(24*E322)</f>
        <v>0</v>
      </c>
      <c r="I356" s="331">
        <f>Table47258588136[[#This Row],[Downtime/Year (Hours)]]*60</f>
        <v>0</v>
      </c>
      <c r="J356" s="331">
        <f>Table47258588136[[#This Row],[Downtime/Month (Hours)]]/24</f>
        <v>0</v>
      </c>
      <c r="K356" s="331">
        <f>Table47258588136[[#This Row],[Downtime/Year (Hours)]]/12</f>
        <v>0</v>
      </c>
      <c r="L356" s="331">
        <f>Table47258588136[[#This Row],[Downtime/Month (Hours)]]*60</f>
        <v>0</v>
      </c>
      <c r="M356" s="330">
        <v>0.5</v>
      </c>
      <c r="N356" s="330">
        <v>1</v>
      </c>
      <c r="O356" s="332">
        <v>0</v>
      </c>
      <c r="P356" s="332">
        <v>1</v>
      </c>
      <c r="Q356" s="129"/>
      <c r="R356" s="4"/>
    </row>
    <row r="357" spans="1:18" hidden="1" outlineLevel="1">
      <c r="A357" s="4"/>
      <c r="B357" s="4"/>
      <c r="C357" s="7"/>
      <c r="D357" s="16" t="s">
        <v>977</v>
      </c>
      <c r="E357" s="16" t="s">
        <v>1365</v>
      </c>
      <c r="F357" s="330">
        <v>1</v>
      </c>
      <c r="G357" s="331">
        <f>(E322) - Table47258588136[[#This Row],[SLA]]*(E322)</f>
        <v>0</v>
      </c>
      <c r="H357" s="331">
        <f>(24*E322) - Table47258588136[[#This Row],[SLA]]*(24*E322)</f>
        <v>0</v>
      </c>
      <c r="I357" s="331">
        <f>Table47258588136[[#This Row],[Downtime/Year (Hours)]]*60</f>
        <v>0</v>
      </c>
      <c r="J357" s="331">
        <f>Table47258588136[[#This Row],[Downtime/Month (Hours)]]/24</f>
        <v>0</v>
      </c>
      <c r="K357" s="331">
        <f>Table47258588136[[#This Row],[Downtime/Year (Hours)]]/12</f>
        <v>0</v>
      </c>
      <c r="L357" s="331">
        <f>Table47258588136[[#This Row],[Downtime/Month (Hours)]]*60</f>
        <v>0</v>
      </c>
      <c r="M357" s="330">
        <v>0.5</v>
      </c>
      <c r="N357" s="330">
        <v>1</v>
      </c>
      <c r="O357" s="332">
        <v>0</v>
      </c>
      <c r="P357" s="332">
        <v>1</v>
      </c>
      <c r="Q357" s="129"/>
      <c r="R357" s="4"/>
    </row>
    <row r="358" spans="1:18" hidden="1" outlineLevel="1">
      <c r="A358" s="4"/>
      <c r="B358" s="4"/>
      <c r="C358" s="7"/>
      <c r="D358" s="333" t="s">
        <v>978</v>
      </c>
      <c r="E358" s="16" t="s">
        <v>1365</v>
      </c>
      <c r="F358" s="330">
        <v>0.99990000000000001</v>
      </c>
      <c r="G358" s="331">
        <f>(E322) - Table47258588136[[#This Row],[SLA]]*(E322)</f>
        <v>0</v>
      </c>
      <c r="H358" s="331">
        <f>(24*E322) - Table47258588136[[#This Row],[SLA]]*(24*E322)</f>
        <v>0</v>
      </c>
      <c r="I358" s="331">
        <f>Table47258588136[[#This Row],[Downtime/Year (Hours)]]*60</f>
        <v>0</v>
      </c>
      <c r="J358" s="331">
        <f>Table47258588136[[#This Row],[Downtime/Month (Hours)]]/24</f>
        <v>0</v>
      </c>
      <c r="K358" s="331">
        <f>Table47258588136[[#This Row],[Downtime/Year (Hours)]]/12</f>
        <v>0</v>
      </c>
      <c r="L358" s="331">
        <f>Table47258588136[[#This Row],[Downtime/Month (Hours)]]*60</f>
        <v>0</v>
      </c>
      <c r="M358" s="330">
        <v>1</v>
      </c>
      <c r="N358" s="330">
        <v>1</v>
      </c>
      <c r="O358" s="332">
        <v>0</v>
      </c>
      <c r="P358" s="332">
        <v>1</v>
      </c>
      <c r="Q358" s="132"/>
      <c r="R358" s="4"/>
    </row>
    <row r="359" spans="1:18" hidden="1" outlineLevel="1">
      <c r="A359" s="4"/>
      <c r="B359" s="4"/>
      <c r="C359" s="7"/>
      <c r="D359" s="16" t="s">
        <v>975</v>
      </c>
      <c r="E359" s="16" t="s">
        <v>1365</v>
      </c>
      <c r="F359" s="330">
        <v>0.99950000000000006</v>
      </c>
      <c r="G359" s="331">
        <f>(E322) - Table47258588136[[#This Row],[SLA]]*(E322)</f>
        <v>0</v>
      </c>
      <c r="H359" s="331">
        <f>(24*E322) - Table47258588136[[#This Row],[SLA]]*(24*E322)</f>
        <v>0</v>
      </c>
      <c r="I359" s="331">
        <f>Table47258588136[[#This Row],[Downtime/Year (Hours)]]*60</f>
        <v>0</v>
      </c>
      <c r="J359" s="331">
        <f>Table47258588136[[#This Row],[Downtime/Month (Hours)]]/24</f>
        <v>0</v>
      </c>
      <c r="K359" s="331">
        <f>Table47258588136[[#This Row],[Downtime/Year (Hours)]]/12</f>
        <v>0</v>
      </c>
      <c r="L359" s="331">
        <f>Table47258588136[[#This Row],[Downtime/Month (Hours)]]*60</f>
        <v>0</v>
      </c>
      <c r="M359" s="330">
        <v>0.5</v>
      </c>
      <c r="N359" s="330">
        <v>1</v>
      </c>
      <c r="O359" s="332">
        <v>0</v>
      </c>
      <c r="P359" s="332">
        <v>1</v>
      </c>
      <c r="Q359" s="132"/>
      <c r="R359" s="4"/>
    </row>
    <row r="360" spans="1:18" hidden="1" outlineLevel="1">
      <c r="A360" s="4"/>
      <c r="B360" s="4"/>
      <c r="C360" s="7"/>
      <c r="D360" s="313" t="s">
        <v>981</v>
      </c>
      <c r="E360" s="16" t="s">
        <v>1365</v>
      </c>
      <c r="F360" s="330">
        <v>0.999</v>
      </c>
      <c r="G360" s="331">
        <f>(E322) - Table47258588136[[#This Row],[SLA]]*(E322)</f>
        <v>0</v>
      </c>
      <c r="H360" s="331">
        <f>(24*E322) - Table47258588136[[#This Row],[SLA]]*(24*E322)</f>
        <v>0</v>
      </c>
      <c r="I360" s="331">
        <f>Table47258588136[[#This Row],[Downtime/Year (Hours)]]*60</f>
        <v>0</v>
      </c>
      <c r="J360" s="331">
        <f>Table47258588136[[#This Row],[Downtime/Month (Hours)]]/24</f>
        <v>0</v>
      </c>
      <c r="K360" s="331">
        <f>Table47258588136[[#This Row],[Downtime/Year (Hours)]]/12</f>
        <v>0</v>
      </c>
      <c r="L360" s="331">
        <f>Table47258588136[[#This Row],[Downtime/Month (Hours)]]*60</f>
        <v>0</v>
      </c>
      <c r="M360" s="330">
        <v>0.5</v>
      </c>
      <c r="N360" s="330">
        <v>1</v>
      </c>
      <c r="O360" s="332">
        <v>0</v>
      </c>
      <c r="P360" s="332">
        <v>1</v>
      </c>
      <c r="Q360" s="132"/>
      <c r="R360" s="4"/>
    </row>
    <row r="361" spans="1:18" hidden="1" outlineLevel="1">
      <c r="A361" s="4"/>
      <c r="B361" s="4"/>
      <c r="C361" s="7"/>
      <c r="D361" s="16" t="s">
        <v>979</v>
      </c>
      <c r="E361" s="16" t="s">
        <v>1365</v>
      </c>
      <c r="F361" s="330">
        <v>0.99950000000000006</v>
      </c>
      <c r="G361" s="331">
        <f>(E322) - Table47258588136[[#This Row],[SLA]]*(E322)</f>
        <v>0</v>
      </c>
      <c r="H361" s="331">
        <f>(24*E322) - Table47258588136[[#This Row],[SLA]]*(24*E322)</f>
        <v>0</v>
      </c>
      <c r="I361" s="331">
        <f>Table47258588136[[#This Row],[Downtime/Year (Hours)]]*60</f>
        <v>0</v>
      </c>
      <c r="J361" s="331">
        <f>Table47258588136[[#This Row],[Downtime/Month (Hours)]]/24</f>
        <v>0</v>
      </c>
      <c r="K361" s="331">
        <f>Table47258588136[[#This Row],[Downtime/Year (Hours)]]/12</f>
        <v>0</v>
      </c>
      <c r="L361" s="331">
        <f>Table47258588136[[#This Row],[Downtime/Month (Hours)]]*60</f>
        <v>0</v>
      </c>
      <c r="M361" s="330">
        <v>0.75</v>
      </c>
      <c r="N361" s="330">
        <v>1</v>
      </c>
      <c r="O361" s="332">
        <v>0</v>
      </c>
      <c r="P361" s="332">
        <v>1</v>
      </c>
      <c r="Q361" s="132"/>
      <c r="R361" s="4"/>
    </row>
    <row r="362" spans="1:18" hidden="1" outlineLevel="1">
      <c r="A362" s="4"/>
      <c r="B362" s="4"/>
      <c r="C362" s="7"/>
      <c r="D362" s="16" t="s">
        <v>982</v>
      </c>
      <c r="E362" s="16" t="s">
        <v>1365</v>
      </c>
      <c r="F362" s="330">
        <v>1</v>
      </c>
      <c r="G362" s="331">
        <f>(E322) - Table47258588136[[#This Row],[SLA]]*(E322)</f>
        <v>0</v>
      </c>
      <c r="H362" s="331">
        <f>(24*E322) - Table47258588136[[#This Row],[SLA]]*(24*E322)</f>
        <v>0</v>
      </c>
      <c r="I362" s="331">
        <f>Table47258588136[[#This Row],[Downtime/Year (Hours)]]*60</f>
        <v>0</v>
      </c>
      <c r="J362" s="331">
        <f>Table47258588136[[#This Row],[Downtime/Month (Hours)]]/24</f>
        <v>0</v>
      </c>
      <c r="K362" s="331">
        <f>Table47258588136[[#This Row],[Downtime/Year (Hours)]]/12</f>
        <v>0</v>
      </c>
      <c r="L362" s="331">
        <f>Table47258588136[[#This Row],[Downtime/Month (Hours)]]*60</f>
        <v>0</v>
      </c>
      <c r="M362" s="330">
        <v>0.75</v>
      </c>
      <c r="N362" s="330">
        <v>1</v>
      </c>
      <c r="O362" s="332">
        <v>1</v>
      </c>
      <c r="P362" s="332">
        <v>8</v>
      </c>
      <c r="Q362" s="129"/>
      <c r="R362" s="4"/>
    </row>
    <row r="363" spans="1:18" hidden="1" outlineLevel="1">
      <c r="A363" s="4"/>
      <c r="B363" s="4"/>
      <c r="C363" s="7"/>
      <c r="D363" s="16" t="s">
        <v>1369</v>
      </c>
      <c r="E363" s="16"/>
      <c r="F363" s="330">
        <f>F356*F357*F358*F359*F360*F361*F362</f>
        <v>0.99780165948006261</v>
      </c>
      <c r="G363" s="331">
        <f>(E322) - Table47258588136[[#This Row],[SLA]]*(E322)</f>
        <v>0</v>
      </c>
      <c r="H363" s="331">
        <f>(24*E322) - Table47258588136[[#This Row],[SLA]]*(24*E322)</f>
        <v>0</v>
      </c>
      <c r="I363" s="331">
        <f>Table47258588136[[#This Row],[Downtime/Year (Hours)]]*60</f>
        <v>0</v>
      </c>
      <c r="J363" s="331">
        <f>Table47258588136[[#This Row],[Downtime/Month (Hours)]]/24</f>
        <v>0</v>
      </c>
      <c r="K363" s="331">
        <f>Table47258588136[[#This Row],[Downtime/Year (Hours)]]/12</f>
        <v>0</v>
      </c>
      <c r="L363" s="331">
        <f>Table47258588136[[#This Row],[Downtime/Month (Hours)]]*60</f>
        <v>0</v>
      </c>
      <c r="M363" s="330">
        <f>M356*M357*M358*M359*M360*M361*M362</f>
        <v>3.515625E-2</v>
      </c>
      <c r="N363" s="330">
        <f>N356*N357*N358*N359*N360*N361*N362</f>
        <v>1</v>
      </c>
      <c r="O363" s="332">
        <f>MAX(O356:O362)</f>
        <v>1</v>
      </c>
      <c r="P363" s="332">
        <f>MAX(P356:P362)</f>
        <v>8</v>
      </c>
      <c r="Q363" s="130"/>
      <c r="R363" s="4"/>
    </row>
    <row r="364" spans="1:18" hidden="1" outlineLevel="1">
      <c r="A364" s="4"/>
      <c r="B364" s="4"/>
      <c r="C364" s="7"/>
      <c r="D364" s="7"/>
      <c r="E364" s="7"/>
      <c r="F364" s="7"/>
      <c r="G364" s="7"/>
      <c r="H364" s="7"/>
      <c r="I364" s="7"/>
      <c r="J364" s="7"/>
      <c r="K364" s="7"/>
      <c r="L364" s="7"/>
      <c r="M364" s="7"/>
      <c r="N364" s="7"/>
      <c r="O364" s="7"/>
      <c r="P364" s="7"/>
      <c r="Q364" s="7"/>
      <c r="R364" s="4"/>
    </row>
    <row r="365" spans="1:18" collapsed="1">
      <c r="A365" s="4"/>
      <c r="B365" s="4"/>
      <c r="C365" s="4"/>
      <c r="D365" s="4"/>
      <c r="E365" s="4"/>
      <c r="F365" s="4"/>
      <c r="G365" s="4"/>
      <c r="H365" s="4"/>
      <c r="I365" s="4"/>
      <c r="J365" s="4"/>
      <c r="K365" s="4"/>
      <c r="L365" s="4"/>
      <c r="M365" s="4"/>
      <c r="N365" s="4"/>
      <c r="O365" s="4"/>
      <c r="P365" s="4"/>
      <c r="Q365" s="4"/>
      <c r="R365" s="4"/>
    </row>
    <row r="366" spans="1:18" ht="18.600000000000001">
      <c r="A366" s="102"/>
      <c r="B366" s="102"/>
      <c r="C366" s="102" t="s">
        <v>78</v>
      </c>
      <c r="D366" s="102"/>
      <c r="E366" s="102"/>
      <c r="F366" s="102"/>
      <c r="G366" s="102"/>
      <c r="H366" s="102"/>
      <c r="I366" s="102"/>
      <c r="J366" s="102"/>
      <c r="K366" s="102"/>
      <c r="L366" s="102"/>
      <c r="M366" s="102"/>
      <c r="N366" s="102"/>
      <c r="O366" s="102"/>
      <c r="P366" s="102"/>
      <c r="Q366" s="102"/>
      <c r="R366" s="102"/>
    </row>
    <row r="367" spans="1:18" outlineLevel="1">
      <c r="A367" s="4"/>
      <c r="B367" s="4"/>
      <c r="C367" s="4"/>
      <c r="D367" s="4"/>
      <c r="E367" s="4"/>
      <c r="F367" s="4"/>
      <c r="G367" s="4"/>
      <c r="H367" s="4"/>
      <c r="I367" s="4"/>
      <c r="J367" s="4"/>
      <c r="K367" s="4"/>
      <c r="L367" s="4"/>
      <c r="M367" s="4"/>
      <c r="N367" s="4"/>
      <c r="O367" s="4"/>
      <c r="P367" s="4"/>
      <c r="Q367" s="4"/>
      <c r="R367" s="4"/>
    </row>
    <row r="368" spans="1:18" ht="16.5" outlineLevel="1">
      <c r="A368" s="4"/>
      <c r="B368" s="4"/>
      <c r="C368" s="169">
        <v>1</v>
      </c>
      <c r="D368" s="70" t="s">
        <v>1377</v>
      </c>
      <c r="E368" s="7"/>
      <c r="F368" s="7"/>
      <c r="G368" s="7"/>
      <c r="H368" s="7"/>
      <c r="I368" s="7"/>
      <c r="J368" s="7"/>
      <c r="K368" s="7"/>
      <c r="L368" s="7"/>
      <c r="M368" s="7"/>
      <c r="N368" s="7"/>
      <c r="O368" s="7"/>
      <c r="P368" s="7"/>
      <c r="Q368" s="7"/>
      <c r="R368" s="4"/>
    </row>
    <row r="369" spans="1:18" ht="16.5" outlineLevel="1">
      <c r="A369" s="4"/>
      <c r="B369" s="4"/>
      <c r="C369" s="169">
        <v>2</v>
      </c>
      <c r="D369" s="70" t="s">
        <v>1378</v>
      </c>
      <c r="E369" s="7"/>
      <c r="F369" s="7"/>
      <c r="G369" s="7"/>
      <c r="H369" s="7"/>
      <c r="I369" s="7"/>
      <c r="J369" s="7"/>
      <c r="K369" s="7"/>
      <c r="L369" s="7"/>
      <c r="M369" s="7"/>
      <c r="N369" s="7"/>
      <c r="O369" s="7"/>
      <c r="P369" s="7"/>
      <c r="Q369" s="7"/>
      <c r="R369" s="4"/>
    </row>
    <row r="370" spans="1:18" ht="16.5" outlineLevel="1">
      <c r="A370" s="4"/>
      <c r="B370" s="4"/>
      <c r="C370" s="169">
        <v>3</v>
      </c>
      <c r="D370" s="70" t="s">
        <v>1379</v>
      </c>
      <c r="E370" s="7"/>
      <c r="F370" s="7"/>
      <c r="G370" s="7"/>
      <c r="H370" s="7"/>
      <c r="I370" s="7"/>
      <c r="J370" s="7"/>
      <c r="K370" s="7"/>
      <c r="L370" s="7"/>
      <c r="M370" s="7"/>
      <c r="N370" s="7"/>
      <c r="O370" s="7"/>
      <c r="P370" s="7"/>
      <c r="Q370" s="7"/>
      <c r="R370" s="4"/>
    </row>
    <row r="371" spans="1:18" ht="16.5" outlineLevel="1">
      <c r="A371" s="4"/>
      <c r="B371" s="4"/>
      <c r="C371" s="169">
        <v>4</v>
      </c>
      <c r="D371" s="7" t="s">
        <v>1380</v>
      </c>
      <c r="E371" s="7"/>
      <c r="F371" s="7"/>
      <c r="G371" s="7"/>
      <c r="H371" s="7"/>
      <c r="I371" s="7"/>
      <c r="J371" s="7"/>
      <c r="K371" s="7"/>
      <c r="L371" s="7"/>
      <c r="M371" s="7"/>
      <c r="N371" s="7"/>
      <c r="O371" s="7"/>
      <c r="P371" s="7"/>
      <c r="Q371" s="7"/>
      <c r="R371" s="4"/>
    </row>
    <row r="372" spans="1:18" ht="16.5" outlineLevel="1">
      <c r="A372" s="4"/>
      <c r="B372" s="4"/>
      <c r="C372" s="169">
        <v>5</v>
      </c>
      <c r="D372" s="7" t="s">
        <v>1381</v>
      </c>
      <c r="E372" s="7"/>
      <c r="F372" s="7"/>
      <c r="G372" s="7"/>
      <c r="H372" s="7"/>
      <c r="I372" s="7"/>
      <c r="J372" s="7"/>
      <c r="K372" s="7"/>
      <c r="L372" s="7"/>
      <c r="M372" s="7"/>
      <c r="N372" s="7"/>
      <c r="O372" s="7"/>
      <c r="P372" s="7"/>
      <c r="Q372" s="7"/>
      <c r="R372" s="4"/>
    </row>
    <row r="373" spans="1:18">
      <c r="A373" s="4"/>
      <c r="B373" s="4"/>
      <c r="C373" s="4"/>
      <c r="D373" s="4"/>
      <c r="E373" s="4"/>
      <c r="F373" s="4"/>
      <c r="G373" s="4"/>
      <c r="H373" s="4"/>
      <c r="I373" s="4"/>
      <c r="J373" s="4"/>
      <c r="K373" s="4"/>
      <c r="L373" s="4"/>
      <c r="M373" s="4"/>
      <c r="N373" s="4"/>
      <c r="O373" s="4"/>
      <c r="P373" s="4"/>
      <c r="Q373" s="4"/>
      <c r="R373" s="4"/>
    </row>
  </sheetData>
  <mergeCells count="28">
    <mergeCell ref="D289:D292"/>
    <mergeCell ref="D328:D331"/>
    <mergeCell ref="D82:D85"/>
    <mergeCell ref="D121:D124"/>
    <mergeCell ref="D160:D163"/>
    <mergeCell ref="D203:D206"/>
    <mergeCell ref="D248:D251"/>
    <mergeCell ref="D33:D36"/>
    <mergeCell ref="E15:H15"/>
    <mergeCell ref="C2:N2"/>
    <mergeCell ref="O2:Q2"/>
    <mergeCell ref="C3:N3"/>
    <mergeCell ref="O3:Q3"/>
    <mergeCell ref="E6:H6"/>
    <mergeCell ref="E7:H7"/>
    <mergeCell ref="E8:H8"/>
    <mergeCell ref="E9:H9"/>
    <mergeCell ref="E10:H10"/>
    <mergeCell ref="E11:H11"/>
    <mergeCell ref="E12:H12"/>
    <mergeCell ref="E13:H13"/>
    <mergeCell ref="E14:H14"/>
    <mergeCell ref="E21:H21"/>
    <mergeCell ref="E16:H16"/>
    <mergeCell ref="E17:H17"/>
    <mergeCell ref="E18:H18"/>
    <mergeCell ref="E19:H19"/>
    <mergeCell ref="E20:H20"/>
  </mergeCells>
  <phoneticPr fontId="65"/>
  <conditionalFormatting sqref="F36">
    <cfRule type="expression" dxfId="1495" priority="83">
      <formula>$F$35&gt;$F$34</formula>
    </cfRule>
    <cfRule type="expression" dxfId="1494" priority="82">
      <formula>$F$35&lt;$F$34</formula>
    </cfRule>
    <cfRule type="expression" dxfId="1493" priority="81">
      <formula>$F$35=$F$34</formula>
    </cfRule>
  </conditionalFormatting>
  <conditionalFormatting sqref="F85">
    <cfRule type="expression" dxfId="1492" priority="61">
      <formula>$F$35=$F$34</formula>
    </cfRule>
    <cfRule type="expression" dxfId="1491" priority="62">
      <formula>$F$35&lt;$F$34</formula>
    </cfRule>
    <cfRule type="expression" dxfId="1490" priority="63">
      <formula>$F$35&gt;$F$34</formula>
    </cfRule>
  </conditionalFormatting>
  <conditionalFormatting sqref="F124">
    <cfRule type="expression" dxfId="1489" priority="52">
      <formula>$F$35=$F$34</formula>
    </cfRule>
    <cfRule type="expression" dxfId="1488" priority="53">
      <formula>$F$35&lt;$F$34</formula>
    </cfRule>
    <cfRule type="expression" dxfId="1487" priority="54">
      <formula>$F$35&gt;$F$34</formula>
    </cfRule>
  </conditionalFormatting>
  <conditionalFormatting sqref="F163">
    <cfRule type="expression" dxfId="1486" priority="45">
      <formula>$F$35&gt;$F$34</formula>
    </cfRule>
    <cfRule type="expression" dxfId="1485" priority="43">
      <formula>$F$35=$F$34</formula>
    </cfRule>
    <cfRule type="expression" dxfId="1484" priority="44">
      <formula>$F$35&lt;$F$34</formula>
    </cfRule>
  </conditionalFormatting>
  <conditionalFormatting sqref="F206">
    <cfRule type="expression" dxfId="1483" priority="34">
      <formula>$F$35=$F$34</formula>
    </cfRule>
    <cfRule type="expression" dxfId="1482" priority="35">
      <formula>$F$35&lt;$F$34</formula>
    </cfRule>
    <cfRule type="expression" dxfId="1481" priority="36">
      <formula>$F$35&gt;$F$34</formula>
    </cfRule>
  </conditionalFormatting>
  <conditionalFormatting sqref="F251">
    <cfRule type="expression" dxfId="1480" priority="25">
      <formula>$F$35=$F$34</formula>
    </cfRule>
    <cfRule type="expression" dxfId="1479" priority="26">
      <formula>$F$35&lt;$F$34</formula>
    </cfRule>
    <cfRule type="expression" dxfId="1478" priority="27">
      <formula>$F$35&gt;$F$34</formula>
    </cfRule>
  </conditionalFormatting>
  <conditionalFormatting sqref="F292">
    <cfRule type="expression" dxfId="1477" priority="18">
      <formula>$F$35&gt;$F$34</formula>
    </cfRule>
    <cfRule type="expression" dxfId="1476" priority="16">
      <formula>$F$35=$F$34</formula>
    </cfRule>
    <cfRule type="expression" dxfId="1475" priority="17">
      <formula>$F$35&lt;$F$34</formula>
    </cfRule>
  </conditionalFormatting>
  <conditionalFormatting sqref="F331">
    <cfRule type="expression" dxfId="1474" priority="7">
      <formula>$F$35=$F$34</formula>
    </cfRule>
    <cfRule type="expression" dxfId="1473" priority="9">
      <formula>$F$35&gt;$F$34</formula>
    </cfRule>
    <cfRule type="expression" dxfId="1472" priority="8">
      <formula>$F$35&lt;$F$34</formula>
    </cfRule>
  </conditionalFormatting>
  <conditionalFormatting sqref="G36:L36">
    <cfRule type="cellIs" dxfId="1471" priority="77" operator="equal">
      <formula>0</formula>
    </cfRule>
    <cfRule type="cellIs" dxfId="1470" priority="78" operator="lessThan">
      <formula>0</formula>
    </cfRule>
    <cfRule type="cellIs" dxfId="1469" priority="79" operator="greaterThan">
      <formula>0</formula>
    </cfRule>
  </conditionalFormatting>
  <conditionalFormatting sqref="G85:L85">
    <cfRule type="cellIs" dxfId="1468" priority="60" operator="greaterThan">
      <formula>0</formula>
    </cfRule>
    <cfRule type="cellIs" dxfId="1467" priority="59" operator="lessThan">
      <formula>0</formula>
    </cfRule>
    <cfRule type="cellIs" dxfId="1466" priority="58" operator="equal">
      <formula>0</formula>
    </cfRule>
  </conditionalFormatting>
  <conditionalFormatting sqref="G124:L124">
    <cfRule type="cellIs" dxfId="1465" priority="51" operator="greaterThan">
      <formula>0</formula>
    </cfRule>
    <cfRule type="cellIs" dxfId="1464" priority="50" operator="lessThan">
      <formula>0</formula>
    </cfRule>
    <cfRule type="cellIs" dxfId="1463" priority="49" operator="equal">
      <formula>0</formula>
    </cfRule>
  </conditionalFormatting>
  <conditionalFormatting sqref="G163:L163">
    <cfRule type="cellIs" dxfId="1462" priority="41" operator="lessThan">
      <formula>0</formula>
    </cfRule>
    <cfRule type="cellIs" dxfId="1461" priority="42" operator="greaterThan">
      <formula>0</formula>
    </cfRule>
    <cfRule type="cellIs" dxfId="1460" priority="40" operator="equal">
      <formula>0</formula>
    </cfRule>
  </conditionalFormatting>
  <conditionalFormatting sqref="G206:L206">
    <cfRule type="cellIs" dxfId="1459" priority="33" operator="greaterThan">
      <formula>0</formula>
    </cfRule>
    <cfRule type="cellIs" dxfId="1458" priority="31" operator="equal">
      <formula>0</formula>
    </cfRule>
    <cfRule type="cellIs" dxfId="1457" priority="32" operator="lessThan">
      <formula>0</formula>
    </cfRule>
  </conditionalFormatting>
  <conditionalFormatting sqref="G251:L251">
    <cfRule type="cellIs" dxfId="1456" priority="24" operator="greaterThan">
      <formula>0</formula>
    </cfRule>
    <cfRule type="cellIs" dxfId="1455" priority="23" operator="lessThan">
      <formula>0</formula>
    </cfRule>
    <cfRule type="cellIs" dxfId="1454" priority="22" operator="equal">
      <formula>0</formula>
    </cfRule>
  </conditionalFormatting>
  <conditionalFormatting sqref="G292:L292">
    <cfRule type="cellIs" dxfId="1453" priority="14" operator="lessThan">
      <formula>0</formula>
    </cfRule>
    <cfRule type="cellIs" dxfId="1452" priority="15" operator="greaterThan">
      <formula>0</formula>
    </cfRule>
    <cfRule type="cellIs" dxfId="1451" priority="13" operator="equal">
      <formula>0</formula>
    </cfRule>
  </conditionalFormatting>
  <conditionalFormatting sqref="G331:L331">
    <cfRule type="cellIs" dxfId="1450" priority="4" operator="equal">
      <formula>0</formula>
    </cfRule>
    <cfRule type="cellIs" dxfId="1449" priority="5" operator="lessThan">
      <formula>0</formula>
    </cfRule>
    <cfRule type="cellIs" dxfId="1448" priority="6" operator="greaterThan">
      <formula>0</formula>
    </cfRule>
  </conditionalFormatting>
  <conditionalFormatting sqref="M36:N36">
    <cfRule type="cellIs" dxfId="1447" priority="75" operator="equal">
      <formula>0</formula>
    </cfRule>
    <cfRule type="cellIs" dxfId="1446" priority="74" operator="lessThan">
      <formula>0</formula>
    </cfRule>
    <cfRule type="cellIs" dxfId="1445" priority="76" operator="greaterThan">
      <formula>0</formula>
    </cfRule>
  </conditionalFormatting>
  <conditionalFormatting sqref="M85:N85">
    <cfRule type="cellIs" dxfId="1444" priority="55" operator="lessThan">
      <formula>0</formula>
    </cfRule>
    <cfRule type="cellIs" dxfId="1443" priority="56" operator="equal">
      <formula>0</formula>
    </cfRule>
    <cfRule type="cellIs" dxfId="1442" priority="57" operator="greaterThan">
      <formula>0</formula>
    </cfRule>
  </conditionalFormatting>
  <conditionalFormatting sqref="M124:N124">
    <cfRule type="cellIs" dxfId="1441" priority="47" operator="equal">
      <formula>0</formula>
    </cfRule>
    <cfRule type="cellIs" dxfId="1440" priority="48" operator="greaterThan">
      <formula>0</formula>
    </cfRule>
    <cfRule type="cellIs" dxfId="1439" priority="46" operator="lessThan">
      <formula>0</formula>
    </cfRule>
  </conditionalFormatting>
  <conditionalFormatting sqref="M163:N163">
    <cfRule type="cellIs" dxfId="1438" priority="39" operator="greaterThan">
      <formula>0</formula>
    </cfRule>
    <cfRule type="cellIs" dxfId="1437" priority="38" operator="equal">
      <formula>0</formula>
    </cfRule>
    <cfRule type="cellIs" dxfId="1436" priority="37" operator="lessThan">
      <formula>0</formula>
    </cfRule>
  </conditionalFormatting>
  <conditionalFormatting sqref="M206:N206">
    <cfRule type="cellIs" dxfId="1435" priority="28" operator="lessThan">
      <formula>0</formula>
    </cfRule>
    <cfRule type="cellIs" dxfId="1434" priority="29" operator="equal">
      <formula>0</formula>
    </cfRule>
    <cfRule type="cellIs" dxfId="1433" priority="30" operator="greaterThan">
      <formula>0</formula>
    </cfRule>
  </conditionalFormatting>
  <conditionalFormatting sqref="M251:N251">
    <cfRule type="cellIs" dxfId="1432" priority="20" operator="equal">
      <formula>0</formula>
    </cfRule>
    <cfRule type="cellIs" dxfId="1431" priority="19" operator="lessThan">
      <formula>0</formula>
    </cfRule>
    <cfRule type="cellIs" dxfId="1430" priority="21" operator="greaterThan">
      <formula>0</formula>
    </cfRule>
  </conditionalFormatting>
  <conditionalFormatting sqref="M292:N292">
    <cfRule type="cellIs" dxfId="1429" priority="10" operator="lessThan">
      <formula>0</formula>
    </cfRule>
    <cfRule type="cellIs" dxfId="1428" priority="11" operator="equal">
      <formula>0</formula>
    </cfRule>
    <cfRule type="cellIs" dxfId="1427" priority="12" operator="greaterThan">
      <formula>0</formula>
    </cfRule>
  </conditionalFormatting>
  <conditionalFormatting sqref="M331:N331">
    <cfRule type="cellIs" dxfId="1426" priority="1" operator="lessThan">
      <formula>0</formula>
    </cfRule>
    <cfRule type="cellIs" dxfId="1425" priority="3" operator="greaterThan">
      <formula>0</formula>
    </cfRule>
    <cfRule type="cellIs" dxfId="1424" priority="2" operator="equal">
      <formula>0</formula>
    </cfRule>
  </conditionalFormatting>
  <dataValidations disablePrompts="1" count="2">
    <dataValidation allowBlank="1" showInputMessage="1" showErrorMessage="1" prompt="Equal to Max RTO" sqref="P76:Q76 P115:Q115 P154:Q154 P197:Q197 P242:Q242 P283:Q283 P322:Q322 P363:Q363" xr:uid="{5B46F0A6-AC1A-497F-AC1E-1C109BAD5CAF}"/>
    <dataValidation allowBlank="1" showInputMessage="1" showErrorMessage="1" prompt="Equal to Max RPO" sqref="O76 O58:Q58 O115 O102:Q102 O154 O141:Q141 O197 O182:Q182 O242 O226:Q226 O283 O269:Q269 O322 O309:Q309 O363 O349:Q349" xr:uid="{D3538765-F018-4FF2-A26A-6214FD91FA8B}"/>
  </dataValidations>
  <hyperlinks>
    <hyperlink ref="D368" r:id="rId1" display="https://github.com/Azure/reliability-workbook" xr:uid="{F0F1AB6F-1340-48DA-AD29-8603E310772E}"/>
    <hyperlink ref="D369" r:id="rId2" display="https://learn.microsoft.com/en-us/azure/active-directory/fundamentals/identity-secure-score" xr:uid="{8627A338-69FF-4886-BE37-E3AF8116357E}"/>
    <hyperlink ref="D370" r:id="rId3" display="https://learn.microsoft.com/en-us/azure/defender-for-cloud/secure-score-access-and-track" xr:uid="{6329537F-2808-4EE7-9D15-62985AF87993}"/>
    <hyperlink ref="E21" r:id="rId4" display="https://learn.microsoft.com/en-us/azure/architecture/web-apps/app-service/architectures/multi-region" xr:uid="{AE828B20-8DE6-4A6D-90C4-DE68DFB3C707}"/>
  </hyperlinks>
  <pageMargins left="0.7" right="0.7" top="0.75" bottom="0.75" header="0.3" footer="0.3"/>
  <pageSetup orientation="portrait" r:id="rId5"/>
  <ignoredErrors>
    <ignoredError sqref="G65:H76" calculatedColumn="1"/>
  </ignoredErrors>
  <drawing r:id="rId6"/>
  <tableParts count="24">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 r:id="rId27"/>
    <tablePart r:id="rId28"/>
    <tablePart r:id="rId29"/>
    <tablePart r:id="rId30"/>
  </tableParts>
  <extLst>
    <ext xmlns:x14="http://schemas.microsoft.com/office/spreadsheetml/2009/9/main" uri="{78C0D931-6437-407d-A8EE-F0AAD7539E65}">
      <x14:conditionalFormattings>
        <x14:conditionalFormatting xmlns:xm="http://schemas.microsoft.com/office/excel/2006/main">
          <x14:cfRule type="cellIs" priority="69" operator="equal" id="{EF298472-A0C4-42B0-A4BC-2200D67A3E49}">
            <xm:f>Data!$L$9</xm:f>
            <x14:dxf>
              <font>
                <color theme="1"/>
              </font>
              <fill>
                <patternFill>
                  <bgColor rgb="FF7FBA00"/>
                </patternFill>
              </fill>
            </x14:dxf>
          </x14:cfRule>
          <x14:cfRule type="cellIs" priority="72" operator="equal" id="{29DC3016-D6FF-490B-90D1-DA0E5DCCEC70}">
            <xm:f>Data!$L$5</xm:f>
            <x14:dxf>
              <font>
                <color theme="0"/>
              </font>
              <fill>
                <patternFill>
                  <bgColor rgb="FFF25022"/>
                </patternFill>
              </fill>
            </x14:dxf>
          </x14:cfRule>
          <x14:cfRule type="cellIs" priority="73" operator="equal" id="{8A1C3C82-00A8-4A85-B1DE-3858471B7735}">
            <xm:f>Data!$L$6+Data!$L$14</xm:f>
            <x14:dxf>
              <font>
                <color theme="0"/>
              </font>
              <fill>
                <patternFill>
                  <bgColor rgb="FF747474"/>
                </patternFill>
              </fill>
            </x14:dxf>
          </x14:cfRule>
          <x14:cfRule type="cellIs" priority="71" operator="equal" id="{111720A2-BECD-467F-8B84-636483C06D95}">
            <xm:f>Data!$L$7</xm:f>
            <x14:dxf>
              <font>
                <color theme="1"/>
              </font>
              <fill>
                <patternFill>
                  <bgColor rgb="FFFFB900"/>
                </patternFill>
              </fill>
            </x14:dxf>
          </x14:cfRule>
          <x14:cfRule type="cellIs" priority="70" operator="equal" id="{79F5057A-D742-4BA1-BB6F-F1F62BF3E696}">
            <xm:f>Data!$L$8</xm:f>
            <x14:dxf>
              <font>
                <color theme="1"/>
              </font>
              <fill>
                <patternFill>
                  <bgColor rgb="FF00A4EF"/>
                </patternFill>
              </fill>
            </x14:dxf>
          </x14:cfRule>
          <x14:cfRule type="cellIs" priority="68" operator="equal" id="{C679D927-2653-426E-9DD2-ABAC43056859}">
            <xm:f>Data!$L$6</xm:f>
            <x14:dxf>
              <font>
                <color theme="0"/>
              </font>
              <fill>
                <patternFill>
                  <bgColor rgb="FFF25022"/>
                </patternFill>
              </fill>
            </x14:dxf>
          </x14:cfRule>
          <x14:cfRule type="cellIs" priority="67" operator="equal" id="{3B1FE374-58D1-4272-BD8D-D6481303F159}">
            <xm:f>Data!$L$10</xm:f>
            <x14:dxf>
              <font>
                <color theme="0"/>
              </font>
              <fill>
                <patternFill>
                  <bgColor rgb="FFF25022"/>
                </patternFill>
              </fill>
            </x14:dxf>
          </x14:cfRule>
          <x14:cfRule type="cellIs" priority="66" operator="equal" id="{6CBBEA2B-5A3B-433A-9B29-AE7F3E8BC09F}">
            <xm:f>Data!$L$11</xm:f>
            <x14:dxf>
              <font>
                <color theme="0"/>
              </font>
              <fill>
                <patternFill>
                  <bgColor rgb="FFF25022"/>
                </patternFill>
              </fill>
            </x14:dxf>
          </x14:cfRule>
          <x14:cfRule type="cellIs" priority="65" operator="equal" id="{22F496F2-E3D8-459A-92F1-3DAAEB7358B7}">
            <xm:f>Data!$L$12</xm:f>
            <x14:dxf>
              <font>
                <color theme="0"/>
              </font>
              <fill>
                <patternFill>
                  <bgColor rgb="FFF25022"/>
                </patternFill>
              </fill>
            </x14:dxf>
          </x14:cfRule>
          <x14:cfRule type="cellIs" priority="64" operator="equal" id="{0C2C6873-0786-4829-A512-E4A33B088D62}">
            <xm:f>Data!$L$13</xm:f>
            <x14:dxf>
              <font>
                <color theme="0"/>
              </font>
              <fill>
                <patternFill>
                  <bgColor rgb="FFF25022"/>
                </patternFill>
              </fill>
            </x14:dxf>
          </x14:cfRule>
          <xm:sqref>E14:E15</xm:sqref>
        </x14:conditionalFormatting>
      </x14:conditionalFormatting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218F51-5446-45D0-98D3-40789DE190B4}">
  <sheetPr>
    <tabColor rgb="FFFFB900"/>
  </sheetPr>
  <dimension ref="A1:S361"/>
  <sheetViews>
    <sheetView showGridLines="0" showRowColHeaders="0" zoomScale="85" zoomScaleNormal="85" workbookViewId="0">
      <selection activeCell="A8" sqref="A8"/>
    </sheetView>
  </sheetViews>
  <sheetFormatPr defaultColWidth="0" defaultRowHeight="14.45" zeroHeight="1" outlineLevelRow="1"/>
  <cols>
    <col min="1" max="2" width="5.85546875" customWidth="1"/>
    <col min="3" max="3" width="3.85546875" customWidth="1"/>
    <col min="4" max="4" width="43.42578125" bestFit="1" customWidth="1"/>
    <col min="5" max="5" width="35.5703125" bestFit="1" customWidth="1"/>
    <col min="6" max="6" width="19.5703125" customWidth="1"/>
    <col min="7" max="7" width="16.42578125" bestFit="1" customWidth="1"/>
    <col min="8" max="8" width="20.42578125" customWidth="1"/>
    <col min="9" max="9" width="19.42578125" customWidth="1"/>
    <col min="10" max="10" width="14.85546875" customWidth="1"/>
    <col min="11" max="11" width="17.42578125" customWidth="1"/>
    <col min="12" max="12" width="16.42578125" bestFit="1" customWidth="1"/>
    <col min="13" max="13" width="21.85546875" bestFit="1" customWidth="1"/>
    <col min="14" max="14" width="19.140625" bestFit="1" customWidth="1"/>
    <col min="15" max="15" width="23.5703125" customWidth="1"/>
    <col min="16" max="16" width="21.85546875" customWidth="1"/>
    <col min="17" max="17" width="12.42578125" customWidth="1"/>
    <col min="18" max="18" width="8.140625" customWidth="1"/>
    <col min="19" max="19" width="3.85546875" customWidth="1"/>
    <col min="20" max="16384" width="8.85546875" hidden="1"/>
  </cols>
  <sheetData>
    <row r="1" spans="1:19">
      <c r="A1" s="4"/>
      <c r="B1" s="4"/>
      <c r="C1" s="4"/>
      <c r="D1" s="4"/>
      <c r="E1" s="4"/>
      <c r="F1" s="4"/>
      <c r="G1" s="4"/>
      <c r="H1" s="4"/>
      <c r="I1" s="4"/>
      <c r="J1" s="4"/>
      <c r="K1" s="4"/>
      <c r="L1" s="4"/>
      <c r="M1" s="4"/>
      <c r="N1" s="4"/>
      <c r="O1" s="4"/>
      <c r="P1" s="4"/>
      <c r="Q1" s="4"/>
      <c r="R1" s="4"/>
      <c r="S1" s="4"/>
    </row>
    <row r="2" spans="1:19" ht="21">
      <c r="A2" s="4"/>
      <c r="B2" s="4"/>
      <c r="C2" s="618" t="s">
        <v>1466</v>
      </c>
      <c r="D2" s="618"/>
      <c r="E2" s="618"/>
      <c r="F2" s="618"/>
      <c r="G2" s="618"/>
      <c r="H2" s="618"/>
      <c r="I2" s="618"/>
      <c r="J2" s="618"/>
      <c r="K2" s="618"/>
      <c r="L2" s="618"/>
      <c r="M2" s="618"/>
      <c r="N2" s="618"/>
      <c r="O2" s="618"/>
      <c r="P2" s="618"/>
      <c r="Q2" s="618"/>
      <c r="R2" s="618"/>
      <c r="S2" s="4"/>
    </row>
    <row r="3" spans="1:19">
      <c r="A3" s="4"/>
      <c r="B3" s="4"/>
      <c r="C3" s="646" t="s">
        <v>1467</v>
      </c>
      <c r="D3" s="646"/>
      <c r="E3" s="646"/>
      <c r="F3" s="646"/>
      <c r="G3" s="646"/>
      <c r="H3" s="646"/>
      <c r="I3" s="646"/>
      <c r="J3" s="646"/>
      <c r="K3" s="646"/>
      <c r="L3" s="646"/>
      <c r="M3" s="646"/>
      <c r="N3" s="646"/>
      <c r="O3" s="646"/>
      <c r="P3" s="646"/>
      <c r="Q3" s="646"/>
      <c r="R3" s="646"/>
      <c r="S3" s="4"/>
    </row>
    <row r="4" spans="1:19">
      <c r="A4" s="4"/>
      <c r="B4" s="4"/>
      <c r="C4" s="4"/>
      <c r="D4" s="4"/>
      <c r="E4" s="4"/>
      <c r="F4" s="4"/>
      <c r="G4" s="4"/>
      <c r="H4" s="4"/>
      <c r="I4" s="4"/>
      <c r="J4" s="4"/>
      <c r="K4" s="4"/>
      <c r="L4" s="4"/>
      <c r="M4" s="4"/>
      <c r="N4" s="4"/>
      <c r="O4" s="4"/>
      <c r="P4" s="4"/>
      <c r="Q4" s="4"/>
      <c r="R4" s="4"/>
      <c r="S4" s="4"/>
    </row>
    <row r="5" spans="1:19">
      <c r="A5" s="4"/>
      <c r="B5" s="4"/>
      <c r="C5" s="7"/>
      <c r="D5" s="7"/>
      <c r="E5" s="7"/>
      <c r="F5" s="7"/>
      <c r="G5" s="7"/>
      <c r="H5" s="7"/>
      <c r="I5" s="7"/>
      <c r="J5" s="7"/>
      <c r="K5" s="7"/>
      <c r="L5" s="7"/>
      <c r="M5" s="7"/>
      <c r="N5" s="7"/>
      <c r="O5" s="7"/>
      <c r="P5" s="7"/>
      <c r="Q5" s="7"/>
      <c r="R5" s="7"/>
      <c r="S5" s="4"/>
    </row>
    <row r="6" spans="1:19">
      <c r="A6" s="4"/>
      <c r="B6" s="4"/>
      <c r="C6" s="7"/>
      <c r="D6" s="107" t="s">
        <v>890</v>
      </c>
      <c r="E6" s="698" t="s">
        <v>891</v>
      </c>
      <c r="F6" s="699"/>
      <c r="G6" s="700"/>
      <c r="H6" s="7"/>
      <c r="I6" s="7"/>
      <c r="J6" s="7"/>
      <c r="K6" s="7"/>
      <c r="L6" s="7"/>
      <c r="M6" s="7"/>
      <c r="N6" s="7"/>
      <c r="O6" s="7"/>
      <c r="P6" s="7"/>
      <c r="Q6" s="7"/>
      <c r="R6" s="7"/>
      <c r="S6" s="4"/>
    </row>
    <row r="7" spans="1:19">
      <c r="A7" s="4"/>
      <c r="B7" s="4"/>
      <c r="C7" s="7"/>
      <c r="D7" s="107" t="s">
        <v>892</v>
      </c>
      <c r="E7" s="698" t="s">
        <v>893</v>
      </c>
      <c r="F7" s="699"/>
      <c r="G7" s="700"/>
      <c r="H7" s="7"/>
      <c r="I7" s="7"/>
      <c r="J7" s="7"/>
      <c r="K7" s="7"/>
      <c r="L7" s="7"/>
      <c r="M7" s="7"/>
      <c r="N7" s="7"/>
      <c r="O7" s="7"/>
      <c r="P7" s="7"/>
      <c r="Q7" s="7"/>
      <c r="R7" s="7"/>
      <c r="S7" s="4"/>
    </row>
    <row r="8" spans="1:19">
      <c r="A8" s="4"/>
      <c r="B8" s="4"/>
      <c r="C8" s="7"/>
      <c r="D8" s="107" t="s">
        <v>117</v>
      </c>
      <c r="E8" s="698" t="s">
        <v>894</v>
      </c>
      <c r="F8" s="699"/>
      <c r="G8" s="700"/>
      <c r="H8" s="7"/>
      <c r="I8" s="7"/>
      <c r="J8" s="7"/>
      <c r="K8" s="7"/>
      <c r="L8" s="7"/>
      <c r="M8" s="7"/>
      <c r="N8" s="7"/>
      <c r="O8" s="7"/>
      <c r="P8" s="7"/>
      <c r="Q8" s="7"/>
      <c r="R8" s="7"/>
      <c r="S8" s="4"/>
    </row>
    <row r="9" spans="1:19">
      <c r="A9" s="4"/>
      <c r="B9" s="4"/>
      <c r="C9" s="7"/>
      <c r="D9" s="107" t="s">
        <v>822</v>
      </c>
      <c r="E9" s="698"/>
      <c r="F9" s="699"/>
      <c r="G9" s="700"/>
      <c r="H9" s="7"/>
      <c r="I9" s="7"/>
      <c r="J9" s="7"/>
      <c r="K9" s="7"/>
      <c r="L9" s="7"/>
      <c r="M9" s="7"/>
      <c r="N9" s="7"/>
      <c r="O9" s="7"/>
      <c r="P9" s="7"/>
      <c r="Q9" s="7"/>
      <c r="R9" s="7"/>
      <c r="S9" s="4"/>
    </row>
    <row r="10" spans="1:19">
      <c r="A10" s="4"/>
      <c r="B10" s="4"/>
      <c r="C10" s="7"/>
      <c r="D10" s="107" t="s">
        <v>895</v>
      </c>
      <c r="E10" s="698"/>
      <c r="F10" s="699"/>
      <c r="G10" s="700"/>
      <c r="H10" s="7"/>
      <c r="I10" s="7"/>
      <c r="J10" s="7"/>
      <c r="K10" s="7"/>
      <c r="L10" s="7"/>
      <c r="M10" s="7"/>
      <c r="N10" s="7"/>
      <c r="O10" s="7"/>
      <c r="P10" s="7"/>
      <c r="Q10" s="7"/>
      <c r="R10" s="7"/>
      <c r="S10" s="4"/>
    </row>
    <row r="11" spans="1:19">
      <c r="A11" s="4"/>
      <c r="B11" s="4"/>
      <c r="C11" s="7"/>
      <c r="D11" s="107" t="s">
        <v>896</v>
      </c>
      <c r="E11" s="698"/>
      <c r="F11" s="699"/>
      <c r="G11" s="700"/>
      <c r="H11" s="7"/>
      <c r="I11" s="7"/>
      <c r="J11" s="7"/>
      <c r="K11" s="7"/>
      <c r="L11" s="7"/>
      <c r="M11" s="7"/>
      <c r="N11" s="7"/>
      <c r="O11" s="7"/>
      <c r="P11" s="7"/>
      <c r="Q11" s="7"/>
      <c r="R11" s="7"/>
      <c r="S11" s="4"/>
    </row>
    <row r="12" spans="1:19">
      <c r="A12" s="4"/>
      <c r="B12" s="4"/>
      <c r="C12" s="7"/>
      <c r="D12" s="107" t="s">
        <v>477</v>
      </c>
      <c r="E12" s="698"/>
      <c r="F12" s="699"/>
      <c r="G12" s="700"/>
      <c r="H12" s="7"/>
      <c r="I12" s="7"/>
      <c r="J12" s="7"/>
      <c r="K12" s="7"/>
      <c r="L12" s="7"/>
      <c r="M12" s="7"/>
      <c r="N12" s="7"/>
      <c r="O12" s="7"/>
      <c r="P12" s="7"/>
      <c r="Q12" s="7"/>
      <c r="R12" s="7"/>
      <c r="S12" s="4"/>
    </row>
    <row r="13" spans="1:19">
      <c r="A13" s="4"/>
      <c r="B13" s="4"/>
      <c r="C13" s="7"/>
      <c r="D13" s="107" t="s">
        <v>897</v>
      </c>
      <c r="E13" s="698" t="s">
        <v>317</v>
      </c>
      <c r="F13" s="699"/>
      <c r="G13" s="700"/>
      <c r="H13" s="7"/>
      <c r="I13" s="7"/>
      <c r="J13" s="7"/>
      <c r="K13" s="7"/>
      <c r="L13" s="7"/>
      <c r="M13" s="7"/>
      <c r="N13" s="7"/>
      <c r="O13" s="7"/>
      <c r="P13" s="7"/>
      <c r="Q13" s="7"/>
      <c r="R13" s="7"/>
      <c r="S13" s="4"/>
    </row>
    <row r="14" spans="1:19">
      <c r="A14" s="4"/>
      <c r="B14" s="4"/>
      <c r="C14" s="7"/>
      <c r="D14" s="107" t="s">
        <v>267</v>
      </c>
      <c r="E14" s="701" t="s">
        <v>328</v>
      </c>
      <c r="F14" s="702"/>
      <c r="G14" s="703"/>
      <c r="H14" s="7"/>
      <c r="I14" s="7"/>
      <c r="J14" s="7"/>
      <c r="K14" s="7"/>
      <c r="L14" s="7"/>
      <c r="M14" s="7"/>
      <c r="N14" s="7"/>
      <c r="O14" s="7"/>
      <c r="P14" s="7"/>
      <c r="Q14" s="7"/>
      <c r="R14" s="7"/>
      <c r="S14" s="4"/>
    </row>
    <row r="15" spans="1:19">
      <c r="A15" s="4"/>
      <c r="B15" s="4"/>
      <c r="C15" s="7"/>
      <c r="D15" s="107" t="s">
        <v>898</v>
      </c>
      <c r="E15" s="653" t="s">
        <v>899</v>
      </c>
      <c r="F15" s="676"/>
      <c r="G15" s="654"/>
      <c r="H15" s="7"/>
      <c r="I15" s="7"/>
      <c r="J15" s="7"/>
      <c r="K15" s="7"/>
      <c r="L15" s="7"/>
      <c r="M15" s="7"/>
      <c r="N15" s="7"/>
      <c r="O15" s="7"/>
      <c r="P15" s="7"/>
      <c r="Q15" s="7"/>
      <c r="R15" s="7"/>
      <c r="S15" s="4"/>
    </row>
    <row r="16" spans="1:19">
      <c r="A16" s="4"/>
      <c r="B16" s="4"/>
      <c r="C16" s="7"/>
      <c r="D16" s="107" t="s">
        <v>900</v>
      </c>
      <c r="E16" s="692">
        <v>45020</v>
      </c>
      <c r="F16" s="693"/>
      <c r="G16" s="694"/>
      <c r="H16" s="7"/>
      <c r="I16" s="7"/>
      <c r="J16" s="7"/>
      <c r="K16" s="7"/>
      <c r="L16" s="7"/>
      <c r="M16" s="7"/>
      <c r="N16" s="7"/>
      <c r="O16" s="7"/>
      <c r="P16" s="7"/>
      <c r="Q16" s="7"/>
      <c r="R16" s="7"/>
      <c r="S16" s="4"/>
    </row>
    <row r="17" spans="1:19">
      <c r="A17" s="4"/>
      <c r="B17" s="4"/>
      <c r="C17" s="7"/>
      <c r="D17" s="107" t="s">
        <v>901</v>
      </c>
      <c r="E17" s="692">
        <v>45386</v>
      </c>
      <c r="F17" s="693"/>
      <c r="G17" s="694"/>
      <c r="H17" s="7"/>
      <c r="I17" s="7"/>
      <c r="J17" s="7"/>
      <c r="K17" s="7"/>
      <c r="L17" s="7"/>
      <c r="M17" s="7"/>
      <c r="N17" s="7"/>
      <c r="O17" s="7"/>
      <c r="P17" s="7"/>
      <c r="Q17" s="7"/>
      <c r="R17" s="7"/>
      <c r="S17" s="4"/>
    </row>
    <row r="18" spans="1:19">
      <c r="A18" s="4"/>
      <c r="B18" s="4"/>
      <c r="C18" s="7"/>
      <c r="D18" s="107" t="s">
        <v>902</v>
      </c>
      <c r="E18" s="695">
        <v>43160</v>
      </c>
      <c r="F18" s="696"/>
      <c r="G18" s="697"/>
      <c r="H18" s="7"/>
      <c r="I18" s="7"/>
      <c r="J18" s="7"/>
      <c r="K18" s="7"/>
      <c r="L18" s="7"/>
      <c r="M18" s="7"/>
      <c r="N18" s="7"/>
      <c r="O18" s="7"/>
      <c r="P18" s="7"/>
      <c r="Q18" s="7"/>
      <c r="R18" s="7"/>
      <c r="S18" s="4"/>
    </row>
    <row r="19" spans="1:19">
      <c r="A19" s="4"/>
      <c r="B19" s="4"/>
      <c r="C19" s="7"/>
      <c r="D19" s="107" t="s">
        <v>903</v>
      </c>
      <c r="E19" s="695" t="s">
        <v>904</v>
      </c>
      <c r="F19" s="696"/>
      <c r="G19" s="697"/>
      <c r="H19" s="7"/>
      <c r="I19" s="7"/>
      <c r="J19" s="7"/>
      <c r="K19" s="7"/>
      <c r="L19" s="7"/>
      <c r="M19" s="7"/>
      <c r="N19" s="7"/>
      <c r="O19" s="7"/>
      <c r="P19" s="7"/>
      <c r="Q19" s="7"/>
      <c r="R19" s="7"/>
      <c r="S19" s="4"/>
    </row>
    <row r="20" spans="1:19">
      <c r="A20" s="4"/>
      <c r="B20" s="4"/>
      <c r="C20" s="7"/>
      <c r="D20" s="107" t="s">
        <v>905</v>
      </c>
      <c r="E20" s="695" t="s">
        <v>906</v>
      </c>
      <c r="F20" s="696"/>
      <c r="G20" s="697"/>
      <c r="H20" s="7"/>
      <c r="I20" s="7"/>
      <c r="J20" s="7"/>
      <c r="K20" s="7"/>
      <c r="L20" s="7"/>
      <c r="M20" s="7"/>
      <c r="N20" s="7"/>
      <c r="O20" s="7"/>
      <c r="P20" s="7"/>
      <c r="Q20" s="7"/>
      <c r="R20" s="7"/>
      <c r="S20" s="4"/>
    </row>
    <row r="21" spans="1:19">
      <c r="A21" s="4"/>
      <c r="B21" s="4"/>
      <c r="C21" s="7"/>
      <c r="D21" s="108" t="s">
        <v>907</v>
      </c>
      <c r="E21" s="689" t="s">
        <v>908</v>
      </c>
      <c r="F21" s="690"/>
      <c r="G21" s="691"/>
      <c r="H21" s="7"/>
      <c r="I21" s="7"/>
      <c r="J21" s="7"/>
      <c r="K21" s="7"/>
      <c r="L21" s="7"/>
      <c r="M21" s="7"/>
      <c r="N21" s="7"/>
      <c r="O21" s="7"/>
      <c r="P21" s="7"/>
      <c r="Q21" s="7"/>
      <c r="R21" s="7"/>
      <c r="S21" s="4"/>
    </row>
    <row r="22" spans="1:19">
      <c r="A22" s="4"/>
      <c r="B22" s="4"/>
      <c r="C22" s="7"/>
      <c r="D22" s="7"/>
      <c r="E22" s="7"/>
      <c r="F22" s="7"/>
      <c r="G22" s="7"/>
      <c r="H22" s="7"/>
      <c r="I22" s="7"/>
      <c r="J22" s="7"/>
      <c r="K22" s="7"/>
      <c r="L22" s="7"/>
      <c r="M22" s="7"/>
      <c r="N22" s="7"/>
      <c r="O22" s="7"/>
      <c r="P22" s="7"/>
      <c r="Q22" s="7"/>
      <c r="R22" s="7"/>
      <c r="S22" s="4"/>
    </row>
    <row r="23" spans="1:19">
      <c r="A23" s="4"/>
      <c r="B23" s="4"/>
      <c r="C23" s="4"/>
      <c r="D23" s="4"/>
      <c r="E23" s="4"/>
      <c r="F23" s="4"/>
      <c r="G23" s="4"/>
      <c r="H23" s="4"/>
      <c r="I23" s="4"/>
      <c r="J23" s="4"/>
      <c r="K23" s="4"/>
      <c r="L23" s="4"/>
      <c r="M23" s="4"/>
      <c r="N23" s="4"/>
      <c r="O23" s="4"/>
      <c r="P23" s="4"/>
      <c r="Q23" s="4"/>
      <c r="R23" s="4"/>
      <c r="S23" s="4"/>
    </row>
    <row r="24" spans="1:19" ht="18.600000000000001">
      <c r="A24" s="4"/>
      <c r="B24" s="4"/>
      <c r="C24" s="102" t="s">
        <v>1468</v>
      </c>
      <c r="D24" s="102"/>
      <c r="E24" s="102"/>
      <c r="F24" s="102"/>
      <c r="G24" s="102"/>
      <c r="H24" s="102"/>
      <c r="I24" s="102"/>
      <c r="J24" s="102"/>
      <c r="K24" s="102"/>
      <c r="L24" s="102"/>
      <c r="M24" s="102"/>
      <c r="N24" s="102"/>
      <c r="O24" s="102"/>
      <c r="P24" s="102"/>
      <c r="Q24" s="102"/>
      <c r="R24" s="102"/>
      <c r="S24" s="4"/>
    </row>
    <row r="25" spans="1:19" hidden="1" outlineLevel="1">
      <c r="A25" s="4"/>
      <c r="B25" s="4"/>
      <c r="C25" s="4"/>
      <c r="D25" s="4"/>
      <c r="E25" s="4"/>
      <c r="F25" s="4"/>
      <c r="G25" s="4"/>
      <c r="H25" s="4"/>
      <c r="I25" s="4"/>
      <c r="J25" s="4"/>
      <c r="K25" s="4"/>
      <c r="L25" s="4"/>
      <c r="M25" s="4"/>
      <c r="N25" s="4"/>
      <c r="O25" s="4"/>
      <c r="P25" s="4"/>
      <c r="Q25" s="4"/>
      <c r="R25" s="4"/>
      <c r="S25" s="4"/>
    </row>
    <row r="26" spans="1:19" hidden="1" outlineLevel="1">
      <c r="A26" s="4"/>
      <c r="B26" s="4"/>
      <c r="C26" s="7"/>
      <c r="D26" s="7"/>
      <c r="E26" s="7"/>
      <c r="F26" s="7"/>
      <c r="G26" s="7"/>
      <c r="H26" s="7"/>
      <c r="I26" s="7"/>
      <c r="J26" s="7"/>
      <c r="K26" s="7"/>
      <c r="L26" s="7"/>
      <c r="M26" s="7"/>
      <c r="N26" s="7"/>
      <c r="O26" s="7"/>
      <c r="P26" s="7"/>
      <c r="Q26" s="7"/>
      <c r="R26" s="7"/>
      <c r="S26" s="4"/>
    </row>
    <row r="27" spans="1:19" hidden="1" outlineLevel="1">
      <c r="A27" s="4"/>
      <c r="B27" s="4"/>
      <c r="C27" s="7"/>
      <c r="D27" s="124" t="s">
        <v>1469</v>
      </c>
      <c r="E27" s="7"/>
      <c r="F27" s="7"/>
      <c r="G27" s="7"/>
      <c r="H27" s="7"/>
      <c r="I27" s="7"/>
      <c r="J27" s="7"/>
      <c r="K27" s="7"/>
      <c r="L27" s="7"/>
      <c r="M27" s="7"/>
      <c r="N27" s="7"/>
      <c r="O27" s="7"/>
      <c r="P27" s="7"/>
      <c r="Q27" s="7"/>
      <c r="R27" s="7"/>
      <c r="S27" s="4"/>
    </row>
    <row r="28" spans="1:19" hidden="1" outlineLevel="1">
      <c r="A28" s="4"/>
      <c r="B28" s="4"/>
      <c r="C28" s="7"/>
      <c r="D28" s="126" t="s">
        <v>1470</v>
      </c>
      <c r="E28" s="7"/>
      <c r="F28" s="7"/>
      <c r="G28" s="7"/>
      <c r="H28" s="7"/>
      <c r="I28" s="7"/>
      <c r="J28" s="7"/>
      <c r="K28" s="7"/>
      <c r="L28" s="7"/>
      <c r="M28" s="7"/>
      <c r="N28" s="7"/>
      <c r="O28" s="7"/>
      <c r="P28" s="7"/>
      <c r="Q28" s="7"/>
      <c r="R28" s="7"/>
      <c r="S28" s="4"/>
    </row>
    <row r="29" spans="1:19" hidden="1" outlineLevel="1">
      <c r="A29" s="4"/>
      <c r="B29" s="4"/>
      <c r="C29" s="7"/>
      <c r="D29" s="127" t="s">
        <v>1447</v>
      </c>
      <c r="E29" s="7"/>
      <c r="F29" s="7"/>
      <c r="G29" s="7"/>
      <c r="H29" s="7"/>
      <c r="I29" s="7"/>
      <c r="J29" s="7"/>
      <c r="K29" s="7"/>
      <c r="L29" s="7"/>
      <c r="M29" s="7"/>
      <c r="N29" s="7"/>
      <c r="O29" s="7"/>
      <c r="P29" s="7"/>
      <c r="Q29" s="7"/>
      <c r="R29" s="7"/>
      <c r="S29" s="4"/>
    </row>
    <row r="30" spans="1:19" hidden="1" outlineLevel="1">
      <c r="A30" s="4"/>
      <c r="B30" s="4"/>
      <c r="C30" s="7"/>
      <c r="D30" s="7"/>
      <c r="E30" s="7"/>
      <c r="F30" s="7"/>
      <c r="G30" s="7"/>
      <c r="H30" s="7"/>
      <c r="I30" s="7"/>
      <c r="J30" s="7"/>
      <c r="K30" s="7"/>
      <c r="L30" s="7"/>
      <c r="M30" s="7"/>
      <c r="N30" s="7"/>
      <c r="O30" s="7"/>
      <c r="P30" s="7"/>
      <c r="Q30" s="7"/>
      <c r="R30" s="7"/>
      <c r="S30" s="4"/>
    </row>
    <row r="31" spans="1:19" ht="29.1" hidden="1" outlineLevel="1">
      <c r="A31" s="4"/>
      <c r="B31" s="4"/>
      <c r="C31" s="7"/>
      <c r="D31" s="704" t="s">
        <v>1471</v>
      </c>
      <c r="E31" s="16" t="s">
        <v>1345</v>
      </c>
      <c r="F31" s="116" t="s">
        <v>1472</v>
      </c>
      <c r="G31" s="116" t="s">
        <v>1473</v>
      </c>
      <c r="H31" s="116" t="s">
        <v>1474</v>
      </c>
      <c r="I31" s="116" t="s">
        <v>1475</v>
      </c>
      <c r="J31" s="116" t="s">
        <v>1476</v>
      </c>
      <c r="K31" s="116" t="s">
        <v>1477</v>
      </c>
      <c r="L31" s="116" t="s">
        <v>1478</v>
      </c>
      <c r="M31" s="116" t="s">
        <v>1479</v>
      </c>
      <c r="N31" s="116" t="s">
        <v>1480</v>
      </c>
      <c r="O31" s="116" t="s">
        <v>1481</v>
      </c>
      <c r="P31" s="116" t="s">
        <v>1482</v>
      </c>
      <c r="Q31" s="116" t="s">
        <v>1483</v>
      </c>
      <c r="R31" s="7"/>
      <c r="S31" s="4"/>
    </row>
    <row r="32" spans="1:19" hidden="1" outlineLevel="1">
      <c r="A32" s="4"/>
      <c r="B32" s="4"/>
      <c r="C32" s="7"/>
      <c r="D32" s="705"/>
      <c r="E32" s="16" t="s">
        <v>1484</v>
      </c>
      <c r="F32" s="312">
        <f t="shared" ref="F32:Q32" si="0">F51</f>
        <v>37121.550000000003</v>
      </c>
      <c r="G32" s="312">
        <f t="shared" si="0"/>
        <v>10000</v>
      </c>
      <c r="H32" s="312">
        <f t="shared" si="0"/>
        <v>0</v>
      </c>
      <c r="I32" s="312">
        <f t="shared" si="0"/>
        <v>0</v>
      </c>
      <c r="J32" s="312">
        <f t="shared" si="0"/>
        <v>0</v>
      </c>
      <c r="K32" s="312">
        <f t="shared" si="0"/>
        <v>0</v>
      </c>
      <c r="L32" s="312">
        <f t="shared" si="0"/>
        <v>0</v>
      </c>
      <c r="M32" s="312">
        <f t="shared" si="0"/>
        <v>0</v>
      </c>
      <c r="N32" s="312">
        <f t="shared" si="0"/>
        <v>0</v>
      </c>
      <c r="O32" s="312">
        <f t="shared" si="0"/>
        <v>0</v>
      </c>
      <c r="P32" s="312">
        <f t="shared" si="0"/>
        <v>200</v>
      </c>
      <c r="Q32" s="312">
        <f t="shared" si="0"/>
        <v>47321.55</v>
      </c>
      <c r="R32" s="7"/>
      <c r="S32" s="4"/>
    </row>
    <row r="33" spans="1:19" hidden="1" outlineLevel="1">
      <c r="A33" s="4"/>
      <c r="B33" s="4"/>
      <c r="C33" s="7"/>
      <c r="D33" s="705"/>
      <c r="E33" s="16" t="s">
        <v>199</v>
      </c>
      <c r="F33" s="312">
        <f t="shared" ref="F33:Q33" si="1">F70</f>
        <v>40221.46</v>
      </c>
      <c r="G33" s="312">
        <f t="shared" si="1"/>
        <v>10000</v>
      </c>
      <c r="H33" s="312">
        <f t="shared" si="1"/>
        <v>0</v>
      </c>
      <c r="I33" s="312">
        <f t="shared" si="1"/>
        <v>0</v>
      </c>
      <c r="J33" s="312">
        <f t="shared" si="1"/>
        <v>0</v>
      </c>
      <c r="K33" s="312">
        <f t="shared" si="1"/>
        <v>0</v>
      </c>
      <c r="L33" s="312">
        <f t="shared" si="1"/>
        <v>0</v>
      </c>
      <c r="M33" s="312">
        <f t="shared" si="1"/>
        <v>0</v>
      </c>
      <c r="N33" s="312">
        <f t="shared" si="1"/>
        <v>20</v>
      </c>
      <c r="O33" s="312">
        <f t="shared" si="1"/>
        <v>0</v>
      </c>
      <c r="P33" s="312">
        <f t="shared" si="1"/>
        <v>200</v>
      </c>
      <c r="Q33" s="312">
        <f t="shared" si="1"/>
        <v>50441.46</v>
      </c>
      <c r="R33" s="7"/>
      <c r="S33" s="4"/>
    </row>
    <row r="34" spans="1:19" hidden="1" outlineLevel="1">
      <c r="A34" s="4"/>
      <c r="B34" s="4"/>
      <c r="C34" s="7"/>
      <c r="D34" s="706"/>
      <c r="E34" s="16" t="s">
        <v>1485</v>
      </c>
      <c r="F34" s="312">
        <f>F33-F32</f>
        <v>3099.9099999999962</v>
      </c>
      <c r="G34" s="312">
        <f t="shared" ref="G34:Q34" si="2">G33-G32</f>
        <v>0</v>
      </c>
      <c r="H34" s="312">
        <f t="shared" si="2"/>
        <v>0</v>
      </c>
      <c r="I34" s="312">
        <f t="shared" si="2"/>
        <v>0</v>
      </c>
      <c r="J34" s="312">
        <f t="shared" si="2"/>
        <v>0</v>
      </c>
      <c r="K34" s="312">
        <f t="shared" si="2"/>
        <v>0</v>
      </c>
      <c r="L34" s="312">
        <f t="shared" si="2"/>
        <v>0</v>
      </c>
      <c r="M34" s="312">
        <f t="shared" si="2"/>
        <v>0</v>
      </c>
      <c r="N34" s="312">
        <f t="shared" si="2"/>
        <v>20</v>
      </c>
      <c r="O34" s="312">
        <f t="shared" si="2"/>
        <v>0</v>
      </c>
      <c r="P34" s="312">
        <f t="shared" si="2"/>
        <v>0</v>
      </c>
      <c r="Q34" s="312">
        <f t="shared" si="2"/>
        <v>3119.9099999999962</v>
      </c>
      <c r="R34" s="7"/>
      <c r="S34" s="4"/>
    </row>
    <row r="35" spans="1:19" hidden="1" outlineLevel="1">
      <c r="A35" s="4"/>
      <c r="B35" s="4"/>
      <c r="C35" s="7"/>
      <c r="D35" s="7"/>
      <c r="E35" s="7"/>
      <c r="F35" s="7"/>
      <c r="G35" s="7"/>
      <c r="H35" s="7"/>
      <c r="I35" s="7"/>
      <c r="J35" s="7"/>
      <c r="K35" s="7"/>
      <c r="L35" s="7"/>
      <c r="M35" s="7"/>
      <c r="N35" s="7"/>
      <c r="O35" s="7"/>
      <c r="P35" s="7"/>
      <c r="Q35" s="7"/>
      <c r="R35" s="7"/>
      <c r="S35" s="4"/>
    </row>
    <row r="36" spans="1:19" collapsed="1">
      <c r="A36" s="4"/>
      <c r="B36" s="4"/>
      <c r="C36" s="4"/>
      <c r="D36" s="4"/>
      <c r="E36" s="4"/>
      <c r="F36" s="4"/>
      <c r="G36" s="4"/>
      <c r="H36" s="4"/>
      <c r="I36" s="4"/>
      <c r="J36" s="4"/>
      <c r="K36" s="4"/>
      <c r="L36" s="4"/>
      <c r="M36" s="4"/>
      <c r="N36" s="4"/>
      <c r="O36" s="4"/>
      <c r="P36" s="4"/>
      <c r="Q36" s="4"/>
      <c r="R36" s="4"/>
      <c r="S36" s="4"/>
    </row>
    <row r="37" spans="1:19" ht="18.600000000000001">
      <c r="A37" s="102"/>
      <c r="B37" s="102"/>
      <c r="C37" s="562" t="s">
        <v>1486</v>
      </c>
      <c r="D37" s="102"/>
      <c r="E37" s="102"/>
      <c r="F37" s="102"/>
      <c r="G37" s="102"/>
      <c r="H37" s="102"/>
      <c r="I37" s="102"/>
      <c r="J37" s="102"/>
      <c r="K37" s="102"/>
      <c r="L37" s="102"/>
      <c r="M37" s="102"/>
      <c r="N37" s="102"/>
      <c r="O37" s="102"/>
      <c r="P37" s="102"/>
      <c r="Q37" s="102"/>
      <c r="R37" s="102"/>
      <c r="S37" s="4"/>
    </row>
    <row r="38" spans="1:19" hidden="1" outlineLevel="1">
      <c r="A38" s="4"/>
      <c r="B38" s="4"/>
      <c r="C38" s="4"/>
      <c r="D38" s="4"/>
      <c r="E38" s="4"/>
      <c r="F38" s="4"/>
      <c r="G38" s="4"/>
      <c r="H38" s="4"/>
      <c r="I38" s="4"/>
      <c r="J38" s="4"/>
      <c r="K38" s="4"/>
      <c r="L38" s="4"/>
      <c r="M38" s="4"/>
      <c r="N38" s="4"/>
      <c r="O38" s="4"/>
      <c r="P38" s="4"/>
      <c r="Q38" s="4"/>
      <c r="R38" s="4"/>
      <c r="S38" s="4"/>
    </row>
    <row r="39" spans="1:19" hidden="1" outlineLevel="1">
      <c r="A39" s="4"/>
      <c r="B39" s="4"/>
      <c r="C39" s="7"/>
      <c r="D39" s="7"/>
      <c r="E39" s="7"/>
      <c r="F39" s="7"/>
      <c r="G39" s="7"/>
      <c r="H39" s="7"/>
      <c r="I39" s="7"/>
      <c r="J39" s="7"/>
      <c r="K39" s="7"/>
      <c r="L39" s="7"/>
      <c r="M39" s="7"/>
      <c r="N39" s="7"/>
      <c r="O39" s="7"/>
      <c r="P39" s="7"/>
      <c r="Q39" s="7"/>
      <c r="R39" s="7"/>
      <c r="S39" s="4"/>
    </row>
    <row r="40" spans="1:19" ht="29.1" hidden="1" outlineLevel="1">
      <c r="A40" s="4"/>
      <c r="B40" s="4"/>
      <c r="C40" s="7"/>
      <c r="D40" s="116" t="s">
        <v>1361</v>
      </c>
      <c r="E40" s="116" t="s">
        <v>1487</v>
      </c>
      <c r="F40" s="116" t="s">
        <v>1472</v>
      </c>
      <c r="G40" s="116" t="s">
        <v>1473</v>
      </c>
      <c r="H40" s="116" t="s">
        <v>1474</v>
      </c>
      <c r="I40" s="116" t="s">
        <v>1475</v>
      </c>
      <c r="J40" s="116" t="s">
        <v>1476</v>
      </c>
      <c r="K40" s="116" t="s">
        <v>1477</v>
      </c>
      <c r="L40" s="116" t="s">
        <v>1478</v>
      </c>
      <c r="M40" s="116" t="s">
        <v>1479</v>
      </c>
      <c r="N40" s="116" t="s">
        <v>1480</v>
      </c>
      <c r="O40" s="116" t="s">
        <v>1481</v>
      </c>
      <c r="P40" s="116" t="s">
        <v>1482</v>
      </c>
      <c r="Q40" s="116" t="s">
        <v>1483</v>
      </c>
      <c r="R40" s="148"/>
      <c r="S40" s="4"/>
    </row>
    <row r="41" spans="1:19" hidden="1" outlineLevel="1">
      <c r="A41" s="4"/>
      <c r="B41" s="4"/>
      <c r="C41" s="7"/>
      <c r="D41" s="116" t="s">
        <v>1167</v>
      </c>
      <c r="E41" s="118" t="s">
        <v>1181</v>
      </c>
      <c r="F41" s="110">
        <v>135</v>
      </c>
      <c r="G41" s="110">
        <v>0</v>
      </c>
      <c r="H41" s="110">
        <v>0</v>
      </c>
      <c r="I41" s="110">
        <v>0</v>
      </c>
      <c r="J41" s="110">
        <v>0</v>
      </c>
      <c r="K41" s="110">
        <v>0</v>
      </c>
      <c r="L41" s="110">
        <v>0</v>
      </c>
      <c r="M41" s="110">
        <v>0</v>
      </c>
      <c r="N41" s="110">
        <v>0</v>
      </c>
      <c r="O41" s="110">
        <v>0</v>
      </c>
      <c r="P41" s="110">
        <v>25</v>
      </c>
      <c r="Q41" s="110">
        <f>SUM(Table47984[[#This Row],[Consumption (USD)]:[Vendor Support (USD)]])</f>
        <v>160</v>
      </c>
      <c r="R41" s="157"/>
      <c r="S41" s="4"/>
    </row>
    <row r="42" spans="1:19" hidden="1" outlineLevel="1">
      <c r="A42" s="4"/>
      <c r="B42" s="4"/>
      <c r="C42" s="7"/>
      <c r="D42" s="116" t="s">
        <v>1168</v>
      </c>
      <c r="E42" s="118" t="s">
        <v>1182</v>
      </c>
      <c r="F42" s="110">
        <v>100</v>
      </c>
      <c r="G42" s="110">
        <v>0</v>
      </c>
      <c r="H42" s="110">
        <v>0</v>
      </c>
      <c r="I42" s="110">
        <v>0</v>
      </c>
      <c r="J42" s="110">
        <v>0</v>
      </c>
      <c r="K42" s="115">
        <v>0</v>
      </c>
      <c r="L42" s="115">
        <v>0</v>
      </c>
      <c r="M42" s="115">
        <v>0</v>
      </c>
      <c r="N42" s="115">
        <v>0</v>
      </c>
      <c r="O42" s="115">
        <v>0</v>
      </c>
      <c r="P42" s="115">
        <v>25</v>
      </c>
      <c r="Q42" s="110">
        <f>SUM(Table47984[[#This Row],[Consumption (USD)]:[Vendor Support (USD)]])</f>
        <v>125</v>
      </c>
      <c r="R42" s="157"/>
      <c r="S42" s="4"/>
    </row>
    <row r="43" spans="1:19" hidden="1" outlineLevel="1">
      <c r="A43" s="4"/>
      <c r="B43" s="4"/>
      <c r="C43" s="7"/>
      <c r="D43" s="116" t="s">
        <v>975</v>
      </c>
      <c r="E43" s="118" t="s">
        <v>1183</v>
      </c>
      <c r="F43" s="115">
        <v>2592.5</v>
      </c>
      <c r="G43" s="110">
        <v>0</v>
      </c>
      <c r="H43" s="110">
        <v>0</v>
      </c>
      <c r="I43" s="110">
        <v>0</v>
      </c>
      <c r="J43" s="110">
        <v>0</v>
      </c>
      <c r="K43" s="115">
        <v>0</v>
      </c>
      <c r="L43" s="115">
        <v>0</v>
      </c>
      <c r="M43" s="115">
        <v>0</v>
      </c>
      <c r="N43" s="115">
        <v>0</v>
      </c>
      <c r="O43" s="115">
        <v>0</v>
      </c>
      <c r="P43" s="115">
        <v>25</v>
      </c>
      <c r="Q43" s="110">
        <f>SUM(Table47984[[#This Row],[Consumption (USD)]:[Vendor Support (USD)]])</f>
        <v>2617.5</v>
      </c>
      <c r="R43" s="157"/>
      <c r="S43" s="4"/>
    </row>
    <row r="44" spans="1:19" hidden="1" outlineLevel="1">
      <c r="A44" s="4"/>
      <c r="B44" s="4"/>
      <c r="C44" s="7"/>
      <c r="D44" s="116" t="s">
        <v>981</v>
      </c>
      <c r="E44" s="118" t="s">
        <v>1184</v>
      </c>
      <c r="F44" s="115">
        <v>2708.3</v>
      </c>
      <c r="G44" s="110">
        <v>0</v>
      </c>
      <c r="H44" s="110">
        <v>0</v>
      </c>
      <c r="I44" s="110">
        <v>0</v>
      </c>
      <c r="J44" s="110">
        <v>0</v>
      </c>
      <c r="K44" s="115">
        <v>0</v>
      </c>
      <c r="L44" s="115">
        <v>0</v>
      </c>
      <c r="M44" s="115">
        <v>0</v>
      </c>
      <c r="N44" s="115">
        <v>0</v>
      </c>
      <c r="O44" s="115">
        <v>0</v>
      </c>
      <c r="P44" s="115">
        <v>25</v>
      </c>
      <c r="Q44" s="110">
        <f>SUM(Table47984[[#This Row],[Consumption (USD)]:[Vendor Support (USD)]])</f>
        <v>2733.3</v>
      </c>
      <c r="R44" s="157"/>
      <c r="S44" s="4"/>
    </row>
    <row r="45" spans="1:19" hidden="1" outlineLevel="1">
      <c r="A45" s="4"/>
      <c r="B45" s="4"/>
      <c r="C45" s="7"/>
      <c r="D45" s="116" t="s">
        <v>979</v>
      </c>
      <c r="E45" s="118" t="s">
        <v>1184</v>
      </c>
      <c r="F45" s="115">
        <v>166.08</v>
      </c>
      <c r="G45" s="110">
        <v>0</v>
      </c>
      <c r="H45" s="110">
        <v>0</v>
      </c>
      <c r="I45" s="110">
        <v>0</v>
      </c>
      <c r="J45" s="110">
        <v>0</v>
      </c>
      <c r="K45" s="115">
        <v>0</v>
      </c>
      <c r="L45" s="115">
        <v>0</v>
      </c>
      <c r="M45" s="115">
        <v>0</v>
      </c>
      <c r="N45" s="115">
        <v>0</v>
      </c>
      <c r="O45" s="115">
        <v>0</v>
      </c>
      <c r="P45" s="115">
        <v>25</v>
      </c>
      <c r="Q45" s="110">
        <f>SUM(Table47984[[#This Row],[Consumption (USD)]:[Vendor Support (USD)]])</f>
        <v>191.08</v>
      </c>
      <c r="R45" s="157"/>
      <c r="S45" s="4"/>
    </row>
    <row r="46" spans="1:19" hidden="1" outlineLevel="1">
      <c r="A46" s="4"/>
      <c r="B46" s="4"/>
      <c r="C46" s="7"/>
      <c r="D46" s="116" t="s">
        <v>980</v>
      </c>
      <c r="E46" s="118" t="s">
        <v>1185</v>
      </c>
      <c r="F46" s="115">
        <v>10118.530000000001</v>
      </c>
      <c r="G46" s="110">
        <v>0</v>
      </c>
      <c r="H46" s="110">
        <v>0</v>
      </c>
      <c r="I46" s="110">
        <v>0</v>
      </c>
      <c r="J46" s="110">
        <v>0</v>
      </c>
      <c r="K46" s="115">
        <v>0</v>
      </c>
      <c r="L46" s="115">
        <v>0</v>
      </c>
      <c r="M46" s="115">
        <v>0</v>
      </c>
      <c r="N46" s="115">
        <v>0</v>
      </c>
      <c r="O46" s="115">
        <v>0</v>
      </c>
      <c r="P46" s="115">
        <v>25</v>
      </c>
      <c r="Q46" s="110">
        <f>SUM(Table47984[[#This Row],[Consumption (USD)]:[Vendor Support (USD)]])</f>
        <v>10143.530000000001</v>
      </c>
      <c r="R46" s="157"/>
      <c r="S46" s="4"/>
    </row>
    <row r="47" spans="1:19" hidden="1" outlineLevel="1">
      <c r="A47" s="4"/>
      <c r="B47" s="4"/>
      <c r="C47" s="7"/>
      <c r="D47" s="116" t="s">
        <v>982</v>
      </c>
      <c r="E47" s="118" t="s">
        <v>1488</v>
      </c>
      <c r="F47" s="115">
        <v>1003.75</v>
      </c>
      <c r="G47" s="110">
        <v>0</v>
      </c>
      <c r="H47" s="110">
        <v>0</v>
      </c>
      <c r="I47" s="110">
        <v>0</v>
      </c>
      <c r="J47" s="110">
        <v>0</v>
      </c>
      <c r="K47" s="115">
        <v>0</v>
      </c>
      <c r="L47" s="115">
        <v>0</v>
      </c>
      <c r="M47" s="115">
        <v>0</v>
      </c>
      <c r="N47" s="115">
        <v>0</v>
      </c>
      <c r="O47" s="115">
        <v>0</v>
      </c>
      <c r="P47" s="115">
        <v>25</v>
      </c>
      <c r="Q47" s="110">
        <f>SUM(Table47984[[#This Row],[Consumption (USD)]:[Vendor Support (USD)]])</f>
        <v>1028.75</v>
      </c>
      <c r="R47" s="157"/>
      <c r="S47" s="4"/>
    </row>
    <row r="48" spans="1:19" hidden="1" outlineLevel="1">
      <c r="A48" s="4"/>
      <c r="B48" s="4"/>
      <c r="C48" s="7"/>
      <c r="D48" s="116" t="s">
        <v>1169</v>
      </c>
      <c r="E48" s="116" t="s">
        <v>1489</v>
      </c>
      <c r="F48" s="115">
        <v>297.39</v>
      </c>
      <c r="G48" s="110">
        <v>0</v>
      </c>
      <c r="H48" s="110">
        <v>0</v>
      </c>
      <c r="I48" s="110">
        <v>0</v>
      </c>
      <c r="J48" s="110">
        <v>0</v>
      </c>
      <c r="K48" s="115">
        <v>0</v>
      </c>
      <c r="L48" s="115">
        <v>0</v>
      </c>
      <c r="M48" s="115">
        <v>0</v>
      </c>
      <c r="N48" s="115">
        <v>0</v>
      </c>
      <c r="O48" s="115">
        <v>0</v>
      </c>
      <c r="P48" s="115">
        <v>25</v>
      </c>
      <c r="Q48" s="110">
        <f>SUM(Table47984[[#This Row],[Consumption (USD)]:[Vendor Support (USD)]])</f>
        <v>322.39</v>
      </c>
      <c r="R48" s="157"/>
      <c r="S48" s="4"/>
    </row>
    <row r="49" spans="1:19" hidden="1" outlineLevel="1">
      <c r="A49" s="4"/>
      <c r="B49" s="4"/>
      <c r="C49" s="7"/>
      <c r="D49" s="116" t="s">
        <v>1490</v>
      </c>
      <c r="E49" s="116" t="s">
        <v>1182</v>
      </c>
      <c r="F49" s="115">
        <v>10000</v>
      </c>
      <c r="G49" s="110">
        <v>5000</v>
      </c>
      <c r="H49" s="110">
        <v>0</v>
      </c>
      <c r="I49" s="110">
        <v>0</v>
      </c>
      <c r="J49" s="110">
        <v>0</v>
      </c>
      <c r="K49" s="115">
        <v>0</v>
      </c>
      <c r="L49" s="115">
        <v>0</v>
      </c>
      <c r="M49" s="115">
        <v>0</v>
      </c>
      <c r="N49" s="115">
        <v>0</v>
      </c>
      <c r="O49" s="115">
        <v>0</v>
      </c>
      <c r="P49" s="115">
        <v>0</v>
      </c>
      <c r="Q49" s="110">
        <f>SUM(Table47984[[#This Row],[Consumption (USD)]:[Vendor Support (USD)]])</f>
        <v>15000</v>
      </c>
      <c r="R49" s="157"/>
      <c r="S49" s="4"/>
    </row>
    <row r="50" spans="1:19" hidden="1" outlineLevel="1">
      <c r="A50" s="4"/>
      <c r="B50" s="4"/>
      <c r="C50" s="7"/>
      <c r="D50" s="116" t="s">
        <v>1491</v>
      </c>
      <c r="E50" s="116" t="s">
        <v>1182</v>
      </c>
      <c r="F50" s="115">
        <v>10000</v>
      </c>
      <c r="G50" s="110">
        <v>5000</v>
      </c>
      <c r="H50" s="110">
        <v>0</v>
      </c>
      <c r="I50" s="110">
        <v>0</v>
      </c>
      <c r="J50" s="110">
        <v>0</v>
      </c>
      <c r="K50" s="115">
        <v>0</v>
      </c>
      <c r="L50" s="115">
        <v>0</v>
      </c>
      <c r="M50" s="115">
        <v>0</v>
      </c>
      <c r="N50" s="115">
        <v>0</v>
      </c>
      <c r="O50" s="115">
        <v>0</v>
      </c>
      <c r="P50" s="115">
        <v>0</v>
      </c>
      <c r="Q50" s="110">
        <f>SUM(Table47984[[#This Row],[Consumption (USD)]:[Vendor Support (USD)]])</f>
        <v>15000</v>
      </c>
      <c r="R50" s="157"/>
      <c r="S50" s="4"/>
    </row>
    <row r="51" spans="1:19" hidden="1" outlineLevel="1">
      <c r="A51" s="4"/>
      <c r="B51" s="4"/>
      <c r="C51" s="7"/>
      <c r="D51" s="118"/>
      <c r="E51" s="118"/>
      <c r="F51" s="115">
        <f t="shared" ref="F51:P51" si="3">SUM(F41:F50)</f>
        <v>37121.550000000003</v>
      </c>
      <c r="G51" s="115">
        <f t="shared" si="3"/>
        <v>10000</v>
      </c>
      <c r="H51" s="115">
        <f t="shared" si="3"/>
        <v>0</v>
      </c>
      <c r="I51" s="115">
        <f t="shared" si="3"/>
        <v>0</v>
      </c>
      <c r="J51" s="115">
        <f t="shared" si="3"/>
        <v>0</v>
      </c>
      <c r="K51" s="115">
        <f t="shared" si="3"/>
        <v>0</v>
      </c>
      <c r="L51" s="115">
        <f t="shared" si="3"/>
        <v>0</v>
      </c>
      <c r="M51" s="115">
        <f t="shared" si="3"/>
        <v>0</v>
      </c>
      <c r="N51" s="115">
        <f t="shared" si="3"/>
        <v>0</v>
      </c>
      <c r="O51" s="115">
        <f t="shared" si="3"/>
        <v>0</v>
      </c>
      <c r="P51" s="115">
        <f t="shared" si="3"/>
        <v>200</v>
      </c>
      <c r="Q51" s="110">
        <f>SUM(Table47984[[#This Row],[Consumption (USD)]:[Vendor Support (USD)]])</f>
        <v>47321.55</v>
      </c>
      <c r="R51" s="158"/>
      <c r="S51" s="4"/>
    </row>
    <row r="52" spans="1:19" hidden="1" outlineLevel="1">
      <c r="A52" s="4"/>
      <c r="B52" s="4"/>
      <c r="C52" s="7"/>
      <c r="D52" s="146"/>
      <c r="E52" s="146"/>
      <c r="F52" s="146"/>
      <c r="G52" s="146"/>
      <c r="H52" s="146"/>
      <c r="I52" s="147"/>
      <c r="J52" s="148"/>
      <c r="K52" s="148"/>
      <c r="L52" s="148"/>
      <c r="M52" s="148"/>
      <c r="N52" s="149"/>
      <c r="O52" s="148"/>
      <c r="P52" s="149"/>
      <c r="Q52" s="150"/>
      <c r="R52" s="150"/>
      <c r="S52" s="155"/>
    </row>
    <row r="53" spans="1:19" collapsed="1">
      <c r="A53" s="4"/>
      <c r="B53" s="4"/>
      <c r="C53" s="4"/>
      <c r="D53" s="151"/>
      <c r="E53" s="151"/>
      <c r="F53" s="151"/>
      <c r="G53" s="151"/>
      <c r="H53" s="151"/>
      <c r="I53" s="152"/>
      <c r="J53" s="153"/>
      <c r="K53" s="153"/>
      <c r="L53" s="153"/>
      <c r="M53" s="153"/>
      <c r="N53" s="154"/>
      <c r="O53" s="153"/>
      <c r="P53" s="154"/>
      <c r="Q53" s="155"/>
      <c r="R53" s="155"/>
      <c r="S53" s="155"/>
    </row>
    <row r="54" spans="1:19" ht="18.600000000000001">
      <c r="A54" s="102"/>
      <c r="B54" s="102"/>
      <c r="C54" s="562" t="s">
        <v>1451</v>
      </c>
      <c r="D54" s="102"/>
      <c r="E54" s="102"/>
      <c r="F54" s="102"/>
      <c r="G54" s="102"/>
      <c r="H54" s="102"/>
      <c r="I54" s="102"/>
      <c r="J54" s="102"/>
      <c r="K54" s="102"/>
      <c r="L54" s="102"/>
      <c r="M54" s="102"/>
      <c r="N54" s="102"/>
      <c r="O54" s="102"/>
      <c r="P54" s="102"/>
      <c r="Q54" s="102"/>
      <c r="R54" s="102"/>
      <c r="S54" s="4"/>
    </row>
    <row r="55" spans="1:19" hidden="1" outlineLevel="1">
      <c r="A55" s="4"/>
      <c r="B55" s="4"/>
      <c r="C55" s="4"/>
      <c r="D55" s="4"/>
      <c r="E55" s="4"/>
      <c r="F55" s="4"/>
      <c r="G55" s="4"/>
      <c r="H55" s="4"/>
      <c r="I55" s="4"/>
      <c r="J55" s="4"/>
      <c r="K55" s="4"/>
      <c r="L55" s="4"/>
      <c r="M55" s="4"/>
      <c r="N55" s="4"/>
      <c r="O55" s="4"/>
      <c r="P55" s="4"/>
      <c r="Q55" s="4"/>
      <c r="R55" s="4"/>
      <c r="S55" s="4"/>
    </row>
    <row r="56" spans="1:19" hidden="1" outlineLevel="1">
      <c r="A56" s="4"/>
      <c r="B56" s="4"/>
      <c r="C56" s="7"/>
      <c r="D56" s="7"/>
      <c r="E56" s="7"/>
      <c r="F56" s="7"/>
      <c r="G56" s="7"/>
      <c r="H56" s="7"/>
      <c r="I56" s="7"/>
      <c r="J56" s="7"/>
      <c r="K56" s="7"/>
      <c r="L56" s="7"/>
      <c r="M56" s="7"/>
      <c r="N56" s="7"/>
      <c r="O56" s="7"/>
      <c r="P56" s="7"/>
      <c r="Q56" s="7"/>
      <c r="R56" s="7"/>
      <c r="S56" s="4"/>
    </row>
    <row r="57" spans="1:19" ht="29.1" hidden="1" outlineLevel="1">
      <c r="A57" s="4"/>
      <c r="B57" s="4"/>
      <c r="C57" s="7"/>
      <c r="D57" s="116" t="s">
        <v>1361</v>
      </c>
      <c r="E57" s="116" t="s">
        <v>1487</v>
      </c>
      <c r="F57" s="116" t="s">
        <v>1472</v>
      </c>
      <c r="G57" s="116" t="s">
        <v>1473</v>
      </c>
      <c r="H57" s="116" t="s">
        <v>1474</v>
      </c>
      <c r="I57" s="116" t="s">
        <v>1475</v>
      </c>
      <c r="J57" s="116" t="s">
        <v>1476</v>
      </c>
      <c r="K57" s="116" t="s">
        <v>1477</v>
      </c>
      <c r="L57" s="116" t="s">
        <v>1478</v>
      </c>
      <c r="M57" s="116" t="s">
        <v>1479</v>
      </c>
      <c r="N57" s="116" t="s">
        <v>1480</v>
      </c>
      <c r="O57" s="116" t="s">
        <v>1481</v>
      </c>
      <c r="P57" s="116" t="s">
        <v>1482</v>
      </c>
      <c r="Q57" s="116" t="s">
        <v>1483</v>
      </c>
      <c r="R57" s="148"/>
      <c r="S57" s="4"/>
    </row>
    <row r="58" spans="1:19" hidden="1" outlineLevel="1">
      <c r="A58" s="4"/>
      <c r="B58" s="4"/>
      <c r="C58" s="7"/>
      <c r="D58" s="116" t="s">
        <v>1167</v>
      </c>
      <c r="E58" s="116" t="s">
        <v>1181</v>
      </c>
      <c r="F58" s="115">
        <v>135</v>
      </c>
      <c r="G58" s="115">
        <v>0</v>
      </c>
      <c r="H58" s="115">
        <v>0</v>
      </c>
      <c r="I58" s="115">
        <v>0</v>
      </c>
      <c r="J58" s="115">
        <v>0</v>
      </c>
      <c r="K58" s="115">
        <v>0</v>
      </c>
      <c r="L58" s="115">
        <v>0</v>
      </c>
      <c r="M58" s="115">
        <v>0</v>
      </c>
      <c r="N58" s="115">
        <v>0</v>
      </c>
      <c r="O58" s="115">
        <v>0</v>
      </c>
      <c r="P58" s="115">
        <v>25</v>
      </c>
      <c r="Q58" s="115">
        <f>SUM(F58:P58)</f>
        <v>160</v>
      </c>
      <c r="R58" s="157"/>
      <c r="S58" s="4"/>
    </row>
    <row r="59" spans="1:19" hidden="1" outlineLevel="1">
      <c r="A59" s="4"/>
      <c r="B59" s="4"/>
      <c r="C59" s="7"/>
      <c r="D59" s="116" t="s">
        <v>1168</v>
      </c>
      <c r="E59" s="116" t="s">
        <v>1182</v>
      </c>
      <c r="F59" s="115">
        <v>100</v>
      </c>
      <c r="G59" s="115">
        <v>0</v>
      </c>
      <c r="H59" s="115">
        <v>0</v>
      </c>
      <c r="I59" s="115">
        <v>0</v>
      </c>
      <c r="J59" s="115">
        <v>0</v>
      </c>
      <c r="K59" s="115">
        <v>0</v>
      </c>
      <c r="L59" s="115">
        <v>0</v>
      </c>
      <c r="M59" s="115">
        <v>0</v>
      </c>
      <c r="N59" s="115">
        <v>0</v>
      </c>
      <c r="O59" s="115">
        <v>0</v>
      </c>
      <c r="P59" s="115">
        <v>25</v>
      </c>
      <c r="Q59" s="115">
        <f t="shared" ref="Q59:Q70" si="4">SUM(F59:P59)</f>
        <v>125</v>
      </c>
      <c r="R59" s="157"/>
      <c r="S59" s="4"/>
    </row>
    <row r="60" spans="1:19" hidden="1" outlineLevel="1">
      <c r="A60" s="4"/>
      <c r="B60" s="4"/>
      <c r="C60" s="7"/>
      <c r="D60" s="116" t="s">
        <v>978</v>
      </c>
      <c r="E60" s="116" t="s">
        <v>1184</v>
      </c>
      <c r="F60" s="115">
        <v>341.33</v>
      </c>
      <c r="G60" s="115">
        <v>0</v>
      </c>
      <c r="H60" s="115">
        <v>0</v>
      </c>
      <c r="I60" s="115">
        <v>0</v>
      </c>
      <c r="J60" s="115">
        <v>0</v>
      </c>
      <c r="K60" s="115">
        <v>0</v>
      </c>
      <c r="L60" s="115">
        <v>0</v>
      </c>
      <c r="M60" s="115">
        <v>0</v>
      </c>
      <c r="N60" s="115">
        <v>0</v>
      </c>
      <c r="O60" s="115">
        <v>0</v>
      </c>
      <c r="P60" s="115">
        <v>0</v>
      </c>
      <c r="Q60" s="115">
        <f t="shared" si="4"/>
        <v>341.33</v>
      </c>
      <c r="R60" s="157"/>
      <c r="S60" s="4"/>
    </row>
    <row r="61" spans="1:19" hidden="1" outlineLevel="1">
      <c r="A61" s="4"/>
      <c r="B61" s="4"/>
      <c r="C61" s="7"/>
      <c r="D61" s="116" t="s">
        <v>1492</v>
      </c>
      <c r="E61" s="116" t="s">
        <v>1395</v>
      </c>
      <c r="F61" s="115">
        <v>0</v>
      </c>
      <c r="G61" s="115">
        <v>0</v>
      </c>
      <c r="H61" s="115">
        <v>0</v>
      </c>
      <c r="I61" s="115">
        <v>0</v>
      </c>
      <c r="J61" s="115">
        <v>0</v>
      </c>
      <c r="K61" s="115">
        <v>0</v>
      </c>
      <c r="L61" s="115">
        <v>0</v>
      </c>
      <c r="M61" s="115">
        <v>0</v>
      </c>
      <c r="N61" s="115">
        <v>0</v>
      </c>
      <c r="O61" s="115">
        <v>0</v>
      </c>
      <c r="P61" s="115">
        <v>0</v>
      </c>
      <c r="Q61" s="115">
        <f t="shared" si="4"/>
        <v>0</v>
      </c>
      <c r="R61" s="157"/>
      <c r="S61" s="4"/>
    </row>
    <row r="62" spans="1:19" hidden="1" outlineLevel="1">
      <c r="A62" s="4"/>
      <c r="B62" s="4"/>
      <c r="C62" s="7"/>
      <c r="D62" s="116" t="s">
        <v>975</v>
      </c>
      <c r="E62" s="116" t="s">
        <v>1183</v>
      </c>
      <c r="F62" s="115">
        <f>2592.5*2</f>
        <v>5185</v>
      </c>
      <c r="G62" s="115">
        <v>0</v>
      </c>
      <c r="H62" s="115">
        <v>0</v>
      </c>
      <c r="I62" s="115">
        <v>0</v>
      </c>
      <c r="J62" s="115">
        <v>0</v>
      </c>
      <c r="K62" s="115">
        <v>0</v>
      </c>
      <c r="L62" s="115">
        <v>0</v>
      </c>
      <c r="M62" s="115">
        <v>0</v>
      </c>
      <c r="N62" s="115">
        <v>10</v>
      </c>
      <c r="O62" s="115">
        <v>0</v>
      </c>
      <c r="P62" s="115">
        <v>25</v>
      </c>
      <c r="Q62" s="115">
        <f t="shared" si="4"/>
        <v>5220</v>
      </c>
      <c r="R62" s="157"/>
      <c r="S62" s="4"/>
    </row>
    <row r="63" spans="1:19" hidden="1" outlineLevel="1">
      <c r="A63" s="4"/>
      <c r="B63" s="4"/>
      <c r="C63" s="7"/>
      <c r="D63" s="116" t="s">
        <v>981</v>
      </c>
      <c r="E63" s="116" t="s">
        <v>1184</v>
      </c>
      <c r="F63" s="115">
        <v>2708.3</v>
      </c>
      <c r="G63" s="115">
        <v>0</v>
      </c>
      <c r="H63" s="115">
        <v>0</v>
      </c>
      <c r="I63" s="115">
        <v>0</v>
      </c>
      <c r="J63" s="115">
        <v>0</v>
      </c>
      <c r="K63" s="115">
        <v>0</v>
      </c>
      <c r="L63" s="115">
        <v>0</v>
      </c>
      <c r="M63" s="115">
        <v>0</v>
      </c>
      <c r="N63" s="115">
        <v>0</v>
      </c>
      <c r="O63" s="115">
        <v>0</v>
      </c>
      <c r="P63" s="115">
        <v>25</v>
      </c>
      <c r="Q63" s="115">
        <f t="shared" si="4"/>
        <v>2733.3</v>
      </c>
      <c r="R63" s="157"/>
      <c r="S63" s="4"/>
    </row>
    <row r="64" spans="1:19" hidden="1" outlineLevel="1">
      <c r="A64" s="4"/>
      <c r="B64" s="4"/>
      <c r="C64" s="7"/>
      <c r="D64" s="116" t="s">
        <v>979</v>
      </c>
      <c r="E64" s="116" t="s">
        <v>1184</v>
      </c>
      <c r="F64" s="115">
        <f>166.08*2</f>
        <v>332.16</v>
      </c>
      <c r="G64" s="115">
        <v>0</v>
      </c>
      <c r="H64" s="115">
        <v>0</v>
      </c>
      <c r="I64" s="115">
        <v>0</v>
      </c>
      <c r="J64" s="115">
        <v>0</v>
      </c>
      <c r="K64" s="115">
        <v>0</v>
      </c>
      <c r="L64" s="115">
        <v>0</v>
      </c>
      <c r="M64" s="115">
        <v>0</v>
      </c>
      <c r="N64" s="115">
        <v>0</v>
      </c>
      <c r="O64" s="115">
        <v>0</v>
      </c>
      <c r="P64" s="115">
        <v>25</v>
      </c>
      <c r="Q64" s="115">
        <f t="shared" si="4"/>
        <v>357.16</v>
      </c>
      <c r="R64" s="157"/>
      <c r="S64" s="4"/>
    </row>
    <row r="65" spans="1:19" hidden="1" outlineLevel="1">
      <c r="A65" s="4"/>
      <c r="B65" s="4"/>
      <c r="C65" s="7"/>
      <c r="D65" s="116" t="s">
        <v>980</v>
      </c>
      <c r="E65" s="116" t="s">
        <v>1185</v>
      </c>
      <c r="F65" s="115">
        <v>10118.530000000001</v>
      </c>
      <c r="G65" s="115">
        <v>0</v>
      </c>
      <c r="H65" s="115">
        <v>0</v>
      </c>
      <c r="I65" s="115">
        <v>0</v>
      </c>
      <c r="J65" s="115">
        <v>0</v>
      </c>
      <c r="K65" s="115">
        <v>0</v>
      </c>
      <c r="L65" s="115">
        <v>0</v>
      </c>
      <c r="M65" s="115">
        <v>0</v>
      </c>
      <c r="N65" s="115">
        <v>0</v>
      </c>
      <c r="O65" s="115">
        <v>0</v>
      </c>
      <c r="P65" s="115">
        <v>25</v>
      </c>
      <c r="Q65" s="115">
        <f t="shared" si="4"/>
        <v>10143.530000000001</v>
      </c>
      <c r="R65" s="157"/>
      <c r="S65" s="4"/>
    </row>
    <row r="66" spans="1:19" hidden="1" outlineLevel="1">
      <c r="A66" s="4"/>
      <c r="B66" s="4"/>
      <c r="C66" s="7"/>
      <c r="D66" s="116" t="s">
        <v>982</v>
      </c>
      <c r="E66" s="116" t="s">
        <v>1488</v>
      </c>
      <c r="F66" s="115">
        <v>1003.75</v>
      </c>
      <c r="G66" s="115">
        <v>0</v>
      </c>
      <c r="H66" s="115">
        <v>0</v>
      </c>
      <c r="I66" s="115">
        <v>0</v>
      </c>
      <c r="J66" s="115">
        <v>0</v>
      </c>
      <c r="K66" s="115">
        <v>0</v>
      </c>
      <c r="L66" s="115">
        <v>0</v>
      </c>
      <c r="M66" s="115">
        <v>0</v>
      </c>
      <c r="N66" s="115">
        <v>10</v>
      </c>
      <c r="O66" s="115">
        <v>0</v>
      </c>
      <c r="P66" s="115">
        <v>25</v>
      </c>
      <c r="Q66" s="115">
        <f t="shared" si="4"/>
        <v>1038.75</v>
      </c>
      <c r="R66" s="157"/>
      <c r="S66" s="4"/>
    </row>
    <row r="67" spans="1:19" hidden="1" outlineLevel="1">
      <c r="A67" s="4"/>
      <c r="B67" s="4"/>
      <c r="C67" s="7"/>
      <c r="D67" s="116" t="s">
        <v>1169</v>
      </c>
      <c r="E67" s="116" t="s">
        <v>1489</v>
      </c>
      <c r="F67" s="115">
        <v>297.39</v>
      </c>
      <c r="G67" s="115">
        <v>0</v>
      </c>
      <c r="H67" s="115">
        <v>0</v>
      </c>
      <c r="I67" s="115">
        <v>0</v>
      </c>
      <c r="J67" s="115">
        <v>0</v>
      </c>
      <c r="K67" s="115">
        <v>0</v>
      </c>
      <c r="L67" s="115">
        <v>0</v>
      </c>
      <c r="M67" s="115">
        <v>0</v>
      </c>
      <c r="N67" s="115">
        <v>0</v>
      </c>
      <c r="O67" s="115">
        <v>0</v>
      </c>
      <c r="P67" s="115">
        <v>25</v>
      </c>
      <c r="Q67" s="115">
        <f t="shared" si="4"/>
        <v>322.39</v>
      </c>
      <c r="R67" s="157"/>
      <c r="S67" s="4"/>
    </row>
    <row r="68" spans="1:19" hidden="1" outlineLevel="1">
      <c r="A68" s="4"/>
      <c r="B68" s="4"/>
      <c r="C68" s="7"/>
      <c r="D68" s="116" t="s">
        <v>1490</v>
      </c>
      <c r="E68" s="116" t="s">
        <v>1182</v>
      </c>
      <c r="F68" s="115">
        <v>10000</v>
      </c>
      <c r="G68" s="115">
        <v>5000</v>
      </c>
      <c r="H68" s="115">
        <v>0</v>
      </c>
      <c r="I68" s="115">
        <v>0</v>
      </c>
      <c r="J68" s="115">
        <v>0</v>
      </c>
      <c r="K68" s="115">
        <v>0</v>
      </c>
      <c r="L68" s="115">
        <v>0</v>
      </c>
      <c r="M68" s="115">
        <v>0</v>
      </c>
      <c r="N68" s="115">
        <v>0</v>
      </c>
      <c r="O68" s="115">
        <v>0</v>
      </c>
      <c r="P68" s="115">
        <v>0</v>
      </c>
      <c r="Q68" s="115">
        <f t="shared" si="4"/>
        <v>15000</v>
      </c>
      <c r="R68" s="157"/>
      <c r="S68" s="4"/>
    </row>
    <row r="69" spans="1:19" hidden="1" outlineLevel="1">
      <c r="A69" s="4"/>
      <c r="B69" s="4"/>
      <c r="C69" s="7"/>
      <c r="D69" s="116" t="s">
        <v>1491</v>
      </c>
      <c r="E69" s="116" t="s">
        <v>1182</v>
      </c>
      <c r="F69" s="115">
        <v>10000</v>
      </c>
      <c r="G69" s="115">
        <v>5000</v>
      </c>
      <c r="H69" s="115">
        <v>0</v>
      </c>
      <c r="I69" s="115">
        <v>0</v>
      </c>
      <c r="J69" s="115">
        <v>0</v>
      </c>
      <c r="K69" s="115">
        <v>0</v>
      </c>
      <c r="L69" s="115">
        <v>0</v>
      </c>
      <c r="M69" s="115">
        <v>0</v>
      </c>
      <c r="N69" s="115">
        <v>0</v>
      </c>
      <c r="O69" s="115">
        <v>0</v>
      </c>
      <c r="P69" s="115">
        <v>0</v>
      </c>
      <c r="Q69" s="115">
        <f t="shared" si="4"/>
        <v>15000</v>
      </c>
      <c r="R69" s="157"/>
      <c r="S69" s="4"/>
    </row>
    <row r="70" spans="1:19" hidden="1" outlineLevel="1">
      <c r="A70" s="4"/>
      <c r="B70" s="4"/>
      <c r="C70" s="7"/>
      <c r="D70" s="116"/>
      <c r="E70" s="116"/>
      <c r="F70" s="115">
        <f t="shared" ref="F70:P70" si="5">SUM(F58:F69)</f>
        <v>40221.46</v>
      </c>
      <c r="G70" s="115">
        <f t="shared" si="5"/>
        <v>10000</v>
      </c>
      <c r="H70" s="115">
        <f t="shared" si="5"/>
        <v>0</v>
      </c>
      <c r="I70" s="115">
        <f t="shared" si="5"/>
        <v>0</v>
      </c>
      <c r="J70" s="115">
        <f t="shared" si="5"/>
        <v>0</v>
      </c>
      <c r="K70" s="115">
        <f t="shared" si="5"/>
        <v>0</v>
      </c>
      <c r="L70" s="115">
        <f t="shared" si="5"/>
        <v>0</v>
      </c>
      <c r="M70" s="115">
        <f t="shared" si="5"/>
        <v>0</v>
      </c>
      <c r="N70" s="115">
        <f t="shared" si="5"/>
        <v>20</v>
      </c>
      <c r="O70" s="115">
        <f t="shared" si="5"/>
        <v>0</v>
      </c>
      <c r="P70" s="115">
        <f t="shared" si="5"/>
        <v>200</v>
      </c>
      <c r="Q70" s="115">
        <f t="shared" si="4"/>
        <v>50441.46</v>
      </c>
      <c r="R70" s="158"/>
      <c r="S70" s="4"/>
    </row>
    <row r="71" spans="1:19" hidden="1" outlineLevel="1">
      <c r="A71" s="4"/>
      <c r="B71" s="4"/>
      <c r="C71" s="7"/>
      <c r="D71" s="7"/>
      <c r="E71" s="7"/>
      <c r="F71" s="7"/>
      <c r="G71" s="7"/>
      <c r="H71" s="7"/>
      <c r="I71" s="7"/>
      <c r="J71" s="7"/>
      <c r="K71" s="7"/>
      <c r="L71" s="7"/>
      <c r="M71" s="7"/>
      <c r="N71" s="7"/>
      <c r="O71" s="7"/>
      <c r="P71" s="7"/>
      <c r="Q71" s="7"/>
      <c r="R71" s="7"/>
      <c r="S71" s="4"/>
    </row>
    <row r="72" spans="1:19" collapsed="1">
      <c r="A72" s="4"/>
      <c r="B72" s="4"/>
      <c r="C72" s="4"/>
      <c r="D72" s="4"/>
      <c r="E72" s="4"/>
      <c r="F72" s="4"/>
      <c r="G72" s="4"/>
      <c r="H72" s="4"/>
      <c r="I72" s="4"/>
      <c r="J72" s="4"/>
      <c r="K72" s="4"/>
      <c r="L72" s="4"/>
      <c r="M72" s="4"/>
      <c r="N72" s="4"/>
      <c r="O72" s="4"/>
      <c r="P72" s="4"/>
      <c r="Q72" s="4"/>
      <c r="R72" s="4"/>
      <c r="S72" s="4"/>
    </row>
    <row r="73" spans="1:19" ht="18.600000000000001">
      <c r="A73" s="4"/>
      <c r="B73" s="4"/>
      <c r="C73" s="102" t="s">
        <v>1493</v>
      </c>
      <c r="D73" s="102"/>
      <c r="E73" s="102"/>
      <c r="F73" s="102"/>
      <c r="G73" s="102"/>
      <c r="H73" s="102"/>
      <c r="I73" s="102"/>
      <c r="J73" s="102"/>
      <c r="K73" s="102"/>
      <c r="L73" s="102"/>
      <c r="M73" s="102"/>
      <c r="N73" s="102"/>
      <c r="O73" s="102"/>
      <c r="P73" s="102"/>
      <c r="Q73" s="102"/>
      <c r="R73" s="102"/>
      <c r="S73" s="4"/>
    </row>
    <row r="74" spans="1:19" hidden="1" outlineLevel="1">
      <c r="A74" s="4"/>
      <c r="B74" s="4"/>
      <c r="C74" s="4"/>
      <c r="D74" s="4"/>
      <c r="E74" s="4"/>
      <c r="F74" s="4"/>
      <c r="G74" s="4"/>
      <c r="H74" s="4"/>
      <c r="I74" s="4"/>
      <c r="J74" s="4"/>
      <c r="K74" s="4"/>
      <c r="L74" s="4"/>
      <c r="M74" s="4"/>
      <c r="N74" s="4"/>
      <c r="O74" s="4"/>
      <c r="P74" s="4"/>
      <c r="Q74" s="4"/>
      <c r="R74" s="4"/>
      <c r="S74" s="4"/>
    </row>
    <row r="75" spans="1:19" hidden="1" outlineLevel="1">
      <c r="A75" s="4"/>
      <c r="B75" s="4"/>
      <c r="C75" s="7"/>
      <c r="D75" s="7"/>
      <c r="E75" s="7"/>
      <c r="F75" s="7"/>
      <c r="G75" s="7"/>
      <c r="H75" s="7"/>
      <c r="I75" s="7"/>
      <c r="J75" s="7"/>
      <c r="K75" s="7"/>
      <c r="L75" s="7"/>
      <c r="M75" s="7"/>
      <c r="N75" s="7"/>
      <c r="O75" s="7"/>
      <c r="P75" s="7"/>
      <c r="Q75" s="7"/>
      <c r="R75" s="7"/>
      <c r="S75" s="4"/>
    </row>
    <row r="76" spans="1:19" hidden="1" outlineLevel="1">
      <c r="A76" s="4"/>
      <c r="B76" s="4"/>
      <c r="C76" s="7"/>
      <c r="D76" s="124" t="s">
        <v>1469</v>
      </c>
      <c r="E76" s="7"/>
      <c r="F76" s="7"/>
      <c r="G76" s="7"/>
      <c r="H76" s="7"/>
      <c r="I76" s="7"/>
      <c r="J76" s="7"/>
      <c r="K76" s="7"/>
      <c r="L76" s="7"/>
      <c r="M76" s="7"/>
      <c r="N76" s="7"/>
      <c r="O76" s="7"/>
      <c r="P76" s="7"/>
      <c r="Q76" s="7"/>
      <c r="R76" s="7"/>
      <c r="S76" s="4"/>
    </row>
    <row r="77" spans="1:19" hidden="1" outlineLevel="1">
      <c r="A77" s="4"/>
      <c r="B77" s="4"/>
      <c r="C77" s="7"/>
      <c r="D77" s="126" t="s">
        <v>1470</v>
      </c>
      <c r="E77" s="7"/>
      <c r="F77" s="7"/>
      <c r="G77" s="7"/>
      <c r="H77" s="7"/>
      <c r="I77" s="7"/>
      <c r="J77" s="7"/>
      <c r="K77" s="7"/>
      <c r="L77" s="7"/>
      <c r="M77" s="7"/>
      <c r="N77" s="7"/>
      <c r="O77" s="7"/>
      <c r="P77" s="7"/>
      <c r="Q77" s="7"/>
      <c r="R77" s="7"/>
      <c r="S77" s="4"/>
    </row>
    <row r="78" spans="1:19" hidden="1" outlineLevel="1">
      <c r="A78" s="4"/>
      <c r="B78" s="4"/>
      <c r="C78" s="7"/>
      <c r="D78" s="127" t="s">
        <v>1447</v>
      </c>
      <c r="E78" s="7"/>
      <c r="F78" s="7"/>
      <c r="G78" s="7"/>
      <c r="H78" s="7"/>
      <c r="I78" s="7"/>
      <c r="J78" s="7"/>
      <c r="K78" s="7"/>
      <c r="L78" s="7"/>
      <c r="M78" s="7"/>
      <c r="N78" s="7"/>
      <c r="O78" s="7"/>
      <c r="P78" s="7"/>
      <c r="Q78" s="7"/>
      <c r="R78" s="7"/>
      <c r="S78" s="4"/>
    </row>
    <row r="79" spans="1:19" hidden="1" outlineLevel="1">
      <c r="A79" s="4"/>
      <c r="B79" s="4"/>
      <c r="C79" s="7"/>
      <c r="D79" s="7"/>
      <c r="E79" s="7"/>
      <c r="F79" s="7"/>
      <c r="G79" s="7"/>
      <c r="H79" s="7"/>
      <c r="I79" s="7"/>
      <c r="J79" s="7"/>
      <c r="K79" s="7"/>
      <c r="L79" s="7"/>
      <c r="M79" s="7"/>
      <c r="N79" s="7"/>
      <c r="O79" s="7"/>
      <c r="P79" s="7"/>
      <c r="Q79" s="7"/>
      <c r="R79" s="7"/>
      <c r="S79" s="4"/>
    </row>
    <row r="80" spans="1:19" ht="29.1" hidden="1" outlineLevel="1">
      <c r="A80" s="4"/>
      <c r="B80" s="4"/>
      <c r="C80" s="7"/>
      <c r="D80" s="704" t="s">
        <v>1471</v>
      </c>
      <c r="E80" s="16" t="s">
        <v>1345</v>
      </c>
      <c r="F80" s="116" t="s">
        <v>1472</v>
      </c>
      <c r="G80" s="116" t="s">
        <v>1473</v>
      </c>
      <c r="H80" s="116" t="s">
        <v>1474</v>
      </c>
      <c r="I80" s="116" t="s">
        <v>1475</v>
      </c>
      <c r="J80" s="116" t="s">
        <v>1476</v>
      </c>
      <c r="K80" s="116" t="s">
        <v>1477</v>
      </c>
      <c r="L80" s="116" t="s">
        <v>1478</v>
      </c>
      <c r="M80" s="116" t="s">
        <v>1479</v>
      </c>
      <c r="N80" s="116" t="s">
        <v>1480</v>
      </c>
      <c r="O80" s="116" t="s">
        <v>1481</v>
      </c>
      <c r="P80" s="116" t="s">
        <v>1482</v>
      </c>
      <c r="Q80" s="116" t="s">
        <v>1483</v>
      </c>
      <c r="R80" s="7"/>
      <c r="S80" s="4"/>
    </row>
    <row r="81" spans="1:19" hidden="1" outlineLevel="1">
      <c r="A81" s="4"/>
      <c r="B81" s="4"/>
      <c r="C81" s="7"/>
      <c r="D81" s="705"/>
      <c r="E81" s="16" t="s">
        <v>1484</v>
      </c>
      <c r="F81" s="312">
        <f t="shared" ref="F81:Q81" si="6">F95</f>
        <v>13831.25</v>
      </c>
      <c r="G81" s="312">
        <f t="shared" si="6"/>
        <v>5000</v>
      </c>
      <c r="H81" s="312">
        <f t="shared" si="6"/>
        <v>0</v>
      </c>
      <c r="I81" s="312">
        <f t="shared" si="6"/>
        <v>0</v>
      </c>
      <c r="J81" s="312">
        <f t="shared" si="6"/>
        <v>0</v>
      </c>
      <c r="K81" s="312">
        <f t="shared" si="6"/>
        <v>0</v>
      </c>
      <c r="L81" s="312">
        <f t="shared" si="6"/>
        <v>0</v>
      </c>
      <c r="M81" s="312">
        <f t="shared" si="6"/>
        <v>0</v>
      </c>
      <c r="N81" s="312">
        <f t="shared" si="6"/>
        <v>0</v>
      </c>
      <c r="O81" s="312">
        <f t="shared" si="6"/>
        <v>0</v>
      </c>
      <c r="P81" s="312">
        <f t="shared" si="6"/>
        <v>100</v>
      </c>
      <c r="Q81" s="312">
        <f t="shared" si="6"/>
        <v>18931.25</v>
      </c>
      <c r="R81" s="7"/>
      <c r="S81" s="4"/>
    </row>
    <row r="82" spans="1:19" hidden="1" outlineLevel="1">
      <c r="A82" s="4"/>
      <c r="B82" s="4"/>
      <c r="C82" s="7"/>
      <c r="D82" s="705"/>
      <c r="E82" s="16" t="s">
        <v>199</v>
      </c>
      <c r="F82" s="312">
        <f t="shared" ref="F82:Q82" si="7">F109</f>
        <v>16765.080000000002</v>
      </c>
      <c r="G82" s="312">
        <f t="shared" si="7"/>
        <v>5000</v>
      </c>
      <c r="H82" s="312">
        <f t="shared" si="7"/>
        <v>0</v>
      </c>
      <c r="I82" s="312">
        <f t="shared" si="7"/>
        <v>0</v>
      </c>
      <c r="J82" s="312">
        <f t="shared" si="7"/>
        <v>0</v>
      </c>
      <c r="K82" s="312">
        <f t="shared" si="7"/>
        <v>0</v>
      </c>
      <c r="L82" s="312">
        <f t="shared" si="7"/>
        <v>0</v>
      </c>
      <c r="M82" s="312">
        <f t="shared" si="7"/>
        <v>0</v>
      </c>
      <c r="N82" s="312">
        <f t="shared" si="7"/>
        <v>20</v>
      </c>
      <c r="O82" s="312">
        <f t="shared" si="7"/>
        <v>0</v>
      </c>
      <c r="P82" s="312">
        <f t="shared" si="7"/>
        <v>100</v>
      </c>
      <c r="Q82" s="312">
        <f t="shared" si="7"/>
        <v>21885.08</v>
      </c>
      <c r="R82" s="7"/>
      <c r="S82" s="4"/>
    </row>
    <row r="83" spans="1:19" hidden="1" outlineLevel="1">
      <c r="A83" s="4"/>
      <c r="B83" s="4"/>
      <c r="C83" s="7"/>
      <c r="D83" s="706"/>
      <c r="E83" s="16" t="s">
        <v>1485</v>
      </c>
      <c r="F83" s="312">
        <f>F82-F81</f>
        <v>2933.8300000000017</v>
      </c>
      <c r="G83" s="312">
        <f t="shared" ref="G83:Q83" si="8">G82-G81</f>
        <v>0</v>
      </c>
      <c r="H83" s="312">
        <f t="shared" si="8"/>
        <v>0</v>
      </c>
      <c r="I83" s="312">
        <f t="shared" si="8"/>
        <v>0</v>
      </c>
      <c r="J83" s="312">
        <f t="shared" si="8"/>
        <v>0</v>
      </c>
      <c r="K83" s="312">
        <f t="shared" si="8"/>
        <v>0</v>
      </c>
      <c r="L83" s="312">
        <f t="shared" si="8"/>
        <v>0</v>
      </c>
      <c r="M83" s="312">
        <f t="shared" si="8"/>
        <v>0</v>
      </c>
      <c r="N83" s="312">
        <f t="shared" si="8"/>
        <v>20</v>
      </c>
      <c r="O83" s="312">
        <f t="shared" si="8"/>
        <v>0</v>
      </c>
      <c r="P83" s="312">
        <f t="shared" si="8"/>
        <v>0</v>
      </c>
      <c r="Q83" s="312">
        <f t="shared" si="8"/>
        <v>2953.8300000000017</v>
      </c>
      <c r="R83" s="7"/>
      <c r="S83" s="4"/>
    </row>
    <row r="84" spans="1:19" hidden="1" outlineLevel="1">
      <c r="A84" s="4"/>
      <c r="B84" s="4"/>
      <c r="C84" s="7"/>
      <c r="D84" s="7"/>
      <c r="E84" s="7"/>
      <c r="F84" s="7"/>
      <c r="G84" s="7"/>
      <c r="H84" s="7"/>
      <c r="I84" s="7"/>
      <c r="J84" s="7"/>
      <c r="K84" s="7"/>
      <c r="L84" s="7"/>
      <c r="M84" s="7"/>
      <c r="N84" s="7"/>
      <c r="O84" s="7"/>
      <c r="P84" s="7"/>
      <c r="Q84" s="7"/>
      <c r="R84" s="7"/>
      <c r="S84" s="4"/>
    </row>
    <row r="85" spans="1:19" collapsed="1">
      <c r="A85" s="4"/>
      <c r="B85" s="4"/>
      <c r="C85" s="4"/>
      <c r="D85" s="4"/>
      <c r="E85" s="4"/>
      <c r="F85" s="4"/>
      <c r="G85" s="4"/>
      <c r="H85" s="4"/>
      <c r="I85" s="4"/>
      <c r="J85" s="4"/>
      <c r="K85" s="4"/>
      <c r="L85" s="4"/>
      <c r="M85" s="4"/>
      <c r="N85" s="4"/>
      <c r="O85" s="4"/>
      <c r="P85" s="4"/>
      <c r="Q85" s="4"/>
      <c r="R85" s="4"/>
      <c r="S85" s="4"/>
    </row>
    <row r="86" spans="1:19" ht="18.600000000000001">
      <c r="A86" s="102"/>
      <c r="B86" s="102"/>
      <c r="C86" s="562" t="s">
        <v>1494</v>
      </c>
      <c r="D86" s="102"/>
      <c r="E86" s="102"/>
      <c r="F86" s="102"/>
      <c r="G86" s="102"/>
      <c r="H86" s="102"/>
      <c r="I86" s="102"/>
      <c r="J86" s="102"/>
      <c r="K86" s="102"/>
      <c r="L86" s="102"/>
      <c r="M86" s="102"/>
      <c r="N86" s="102"/>
      <c r="O86" s="102"/>
      <c r="P86" s="102"/>
      <c r="Q86" s="102"/>
      <c r="R86" s="102"/>
      <c r="S86" s="4"/>
    </row>
    <row r="87" spans="1:19" hidden="1" outlineLevel="1">
      <c r="A87" s="4"/>
      <c r="B87" s="4"/>
      <c r="C87" s="4"/>
      <c r="D87" s="4"/>
      <c r="E87" s="4"/>
      <c r="F87" s="4"/>
      <c r="G87" s="4"/>
      <c r="H87" s="4"/>
      <c r="I87" s="4"/>
      <c r="J87" s="4"/>
      <c r="K87" s="4"/>
      <c r="L87" s="4"/>
      <c r="M87" s="4"/>
      <c r="N87" s="4"/>
      <c r="O87" s="4"/>
      <c r="P87" s="4"/>
      <c r="Q87" s="4"/>
      <c r="R87" s="4"/>
      <c r="S87" s="4"/>
    </row>
    <row r="88" spans="1:19" hidden="1" outlineLevel="1">
      <c r="A88" s="4"/>
      <c r="B88" s="4"/>
      <c r="C88" s="7"/>
      <c r="D88" s="7"/>
      <c r="E88" s="7"/>
      <c r="F88" s="7"/>
      <c r="G88" s="7"/>
      <c r="H88" s="7"/>
      <c r="I88" s="7"/>
      <c r="J88" s="7"/>
      <c r="K88" s="7"/>
      <c r="L88" s="7"/>
      <c r="M88" s="7"/>
      <c r="N88" s="7"/>
      <c r="O88" s="7"/>
      <c r="P88" s="7"/>
      <c r="Q88" s="7"/>
      <c r="R88" s="7"/>
      <c r="S88" s="4"/>
    </row>
    <row r="89" spans="1:19" ht="29.1" hidden="1" outlineLevel="1">
      <c r="A89" s="4"/>
      <c r="B89" s="4"/>
      <c r="C89" s="7"/>
      <c r="D89" s="116" t="s">
        <v>1361</v>
      </c>
      <c r="E89" s="116" t="s">
        <v>1487</v>
      </c>
      <c r="F89" s="116" t="s">
        <v>1472</v>
      </c>
      <c r="G89" s="116" t="s">
        <v>1473</v>
      </c>
      <c r="H89" s="116" t="s">
        <v>1474</v>
      </c>
      <c r="I89" s="116" t="s">
        <v>1475</v>
      </c>
      <c r="J89" s="116" t="s">
        <v>1476</v>
      </c>
      <c r="K89" s="116" t="s">
        <v>1477</v>
      </c>
      <c r="L89" s="116" t="s">
        <v>1478</v>
      </c>
      <c r="M89" s="116" t="s">
        <v>1479</v>
      </c>
      <c r="N89" s="116" t="s">
        <v>1480</v>
      </c>
      <c r="O89" s="116" t="s">
        <v>1481</v>
      </c>
      <c r="P89" s="116" t="s">
        <v>1482</v>
      </c>
      <c r="Q89" s="116" t="s">
        <v>1483</v>
      </c>
      <c r="R89" s="148"/>
      <c r="S89" s="4"/>
    </row>
    <row r="90" spans="1:19" hidden="1" outlineLevel="1">
      <c r="A90" s="4"/>
      <c r="B90" s="4"/>
      <c r="C90" s="7"/>
      <c r="D90" s="116" t="s">
        <v>1167</v>
      </c>
      <c r="E90" s="118" t="s">
        <v>1181</v>
      </c>
      <c r="F90" s="110">
        <v>135</v>
      </c>
      <c r="G90" s="110">
        <v>0</v>
      </c>
      <c r="H90" s="110">
        <v>0</v>
      </c>
      <c r="I90" s="110">
        <v>0</v>
      </c>
      <c r="J90" s="110">
        <v>0</v>
      </c>
      <c r="K90" s="110">
        <v>0</v>
      </c>
      <c r="L90" s="110">
        <v>0</v>
      </c>
      <c r="M90" s="110">
        <v>0</v>
      </c>
      <c r="N90" s="110">
        <v>0</v>
      </c>
      <c r="O90" s="110">
        <v>0</v>
      </c>
      <c r="P90" s="110">
        <v>25</v>
      </c>
      <c r="Q90" s="110">
        <f>SUM(Table4798446[[#This Row],[Consumption (USD)]:[Vendor Support (USD)]])</f>
        <v>160</v>
      </c>
      <c r="R90" s="157"/>
      <c r="S90" s="4"/>
    </row>
    <row r="91" spans="1:19" hidden="1" outlineLevel="1">
      <c r="A91" s="4"/>
      <c r="B91" s="4"/>
      <c r="C91" s="7"/>
      <c r="D91" s="116" t="s">
        <v>1168</v>
      </c>
      <c r="E91" s="118" t="s">
        <v>1182</v>
      </c>
      <c r="F91" s="110">
        <v>100</v>
      </c>
      <c r="G91" s="110">
        <v>0</v>
      </c>
      <c r="H91" s="110">
        <v>0</v>
      </c>
      <c r="I91" s="110">
        <v>0</v>
      </c>
      <c r="J91" s="110">
        <v>0</v>
      </c>
      <c r="K91" s="115">
        <v>0</v>
      </c>
      <c r="L91" s="115">
        <v>0</v>
      </c>
      <c r="M91" s="115">
        <v>0</v>
      </c>
      <c r="N91" s="115">
        <v>0</v>
      </c>
      <c r="O91" s="115">
        <v>0</v>
      </c>
      <c r="P91" s="115">
        <v>25</v>
      </c>
      <c r="Q91" s="110">
        <f>SUM(Table4798446[[#This Row],[Consumption (USD)]:[Vendor Support (USD)]])</f>
        <v>125</v>
      </c>
      <c r="R91" s="157"/>
      <c r="S91" s="4"/>
    </row>
    <row r="92" spans="1:19" hidden="1" outlineLevel="1">
      <c r="A92" s="4"/>
      <c r="B92" s="4"/>
      <c r="C92" s="7"/>
      <c r="D92" s="116" t="s">
        <v>975</v>
      </c>
      <c r="E92" s="118" t="s">
        <v>1183</v>
      </c>
      <c r="F92" s="115">
        <v>2592.5</v>
      </c>
      <c r="G92" s="110">
        <v>0</v>
      </c>
      <c r="H92" s="110">
        <v>0</v>
      </c>
      <c r="I92" s="110">
        <v>0</v>
      </c>
      <c r="J92" s="110">
        <v>0</v>
      </c>
      <c r="K92" s="115">
        <v>0</v>
      </c>
      <c r="L92" s="115">
        <v>0</v>
      </c>
      <c r="M92" s="115">
        <v>0</v>
      </c>
      <c r="N92" s="115">
        <v>0</v>
      </c>
      <c r="O92" s="115">
        <v>0</v>
      </c>
      <c r="P92" s="115">
        <v>25</v>
      </c>
      <c r="Q92" s="110">
        <f>SUM(Table4798446[[#This Row],[Consumption (USD)]:[Vendor Support (USD)]])</f>
        <v>2617.5</v>
      </c>
      <c r="R92" s="157"/>
      <c r="S92" s="4"/>
    </row>
    <row r="93" spans="1:19" hidden="1" outlineLevel="1">
      <c r="A93" s="4"/>
      <c r="B93" s="4"/>
      <c r="C93" s="7"/>
      <c r="D93" s="116" t="s">
        <v>982</v>
      </c>
      <c r="E93" s="118" t="s">
        <v>1488</v>
      </c>
      <c r="F93" s="115">
        <v>1003.75</v>
      </c>
      <c r="G93" s="110">
        <v>0</v>
      </c>
      <c r="H93" s="110">
        <v>0</v>
      </c>
      <c r="I93" s="110">
        <v>0</v>
      </c>
      <c r="J93" s="110">
        <v>0</v>
      </c>
      <c r="K93" s="115">
        <v>0</v>
      </c>
      <c r="L93" s="115">
        <v>0</v>
      </c>
      <c r="M93" s="115">
        <v>0</v>
      </c>
      <c r="N93" s="115">
        <v>0</v>
      </c>
      <c r="O93" s="115">
        <v>0</v>
      </c>
      <c r="P93" s="115">
        <v>25</v>
      </c>
      <c r="Q93" s="110">
        <f>SUM(Table4798446[[#This Row],[Consumption (USD)]:[Vendor Support (USD)]])</f>
        <v>1028.75</v>
      </c>
      <c r="R93" s="157"/>
      <c r="S93" s="4"/>
    </row>
    <row r="94" spans="1:19" hidden="1" outlineLevel="1">
      <c r="A94" s="4"/>
      <c r="B94" s="4"/>
      <c r="C94" s="7"/>
      <c r="D94" s="116" t="s">
        <v>1491</v>
      </c>
      <c r="E94" s="116" t="s">
        <v>1182</v>
      </c>
      <c r="F94" s="115">
        <v>10000</v>
      </c>
      <c r="G94" s="110">
        <v>5000</v>
      </c>
      <c r="H94" s="110">
        <v>0</v>
      </c>
      <c r="I94" s="110">
        <v>0</v>
      </c>
      <c r="J94" s="110">
        <v>0</v>
      </c>
      <c r="K94" s="115">
        <v>0</v>
      </c>
      <c r="L94" s="115">
        <v>0</v>
      </c>
      <c r="M94" s="115">
        <v>0</v>
      </c>
      <c r="N94" s="115">
        <v>0</v>
      </c>
      <c r="O94" s="115">
        <v>0</v>
      </c>
      <c r="P94" s="115">
        <v>0</v>
      </c>
      <c r="Q94" s="110">
        <f>SUM(Table4798446[[#This Row],[Consumption (USD)]:[Vendor Support (USD)]])</f>
        <v>15000</v>
      </c>
      <c r="R94" s="157"/>
      <c r="S94" s="4"/>
    </row>
    <row r="95" spans="1:19" hidden="1" outlineLevel="1">
      <c r="A95" s="4"/>
      <c r="B95" s="4"/>
      <c r="C95" s="7"/>
      <c r="D95" s="118"/>
      <c r="E95" s="118"/>
      <c r="F95" s="115">
        <f t="shared" ref="F95:P95" si="9">SUM(F90:F94)</f>
        <v>13831.25</v>
      </c>
      <c r="G95" s="115">
        <f t="shared" si="9"/>
        <v>5000</v>
      </c>
      <c r="H95" s="115">
        <f t="shared" si="9"/>
        <v>0</v>
      </c>
      <c r="I95" s="115">
        <f t="shared" si="9"/>
        <v>0</v>
      </c>
      <c r="J95" s="115">
        <f t="shared" si="9"/>
        <v>0</v>
      </c>
      <c r="K95" s="115">
        <f t="shared" si="9"/>
        <v>0</v>
      </c>
      <c r="L95" s="115">
        <f t="shared" si="9"/>
        <v>0</v>
      </c>
      <c r="M95" s="115">
        <f t="shared" si="9"/>
        <v>0</v>
      </c>
      <c r="N95" s="115">
        <f t="shared" si="9"/>
        <v>0</v>
      </c>
      <c r="O95" s="115">
        <f t="shared" si="9"/>
        <v>0</v>
      </c>
      <c r="P95" s="115">
        <f t="shared" si="9"/>
        <v>100</v>
      </c>
      <c r="Q95" s="110">
        <f>SUM(Table4798446[[#This Row],[Consumption (USD)]:[Vendor Support (USD)]])</f>
        <v>18931.25</v>
      </c>
      <c r="R95" s="158"/>
      <c r="S95" s="4"/>
    </row>
    <row r="96" spans="1:19" hidden="1" outlineLevel="1">
      <c r="A96" s="4"/>
      <c r="B96" s="4"/>
      <c r="C96" s="7"/>
      <c r="D96" s="146"/>
      <c r="E96" s="146"/>
      <c r="F96" s="146"/>
      <c r="G96" s="146"/>
      <c r="H96" s="146"/>
      <c r="I96" s="147"/>
      <c r="J96" s="148"/>
      <c r="K96" s="148"/>
      <c r="L96" s="148"/>
      <c r="M96" s="148"/>
      <c r="N96" s="149"/>
      <c r="O96" s="148"/>
      <c r="P96" s="149"/>
      <c r="Q96" s="150"/>
      <c r="R96" s="150"/>
      <c r="S96" s="155"/>
    </row>
    <row r="97" spans="1:19" collapsed="1">
      <c r="A97" s="4"/>
      <c r="B97" s="4"/>
      <c r="C97" s="4"/>
      <c r="D97" s="151"/>
      <c r="E97" s="151"/>
      <c r="F97" s="151"/>
      <c r="G97" s="151"/>
      <c r="H97" s="151"/>
      <c r="I97" s="152"/>
      <c r="J97" s="153"/>
      <c r="K97" s="153"/>
      <c r="L97" s="153"/>
      <c r="M97" s="153"/>
      <c r="N97" s="154"/>
      <c r="O97" s="153"/>
      <c r="P97" s="154"/>
      <c r="Q97" s="155"/>
      <c r="R97" s="155"/>
      <c r="S97" s="155"/>
    </row>
    <row r="98" spans="1:19" ht="18.600000000000001">
      <c r="A98" s="102"/>
      <c r="B98" s="102"/>
      <c r="C98" s="562" t="s">
        <v>1453</v>
      </c>
      <c r="D98" s="102"/>
      <c r="E98" s="102"/>
      <c r="F98" s="102"/>
      <c r="G98" s="102"/>
      <c r="H98" s="102"/>
      <c r="I98" s="102"/>
      <c r="J98" s="102"/>
      <c r="K98" s="102"/>
      <c r="L98" s="102"/>
      <c r="M98" s="102"/>
      <c r="N98" s="102"/>
      <c r="O98" s="102"/>
      <c r="P98" s="102"/>
      <c r="Q98" s="102"/>
      <c r="R98" s="102"/>
      <c r="S98" s="4"/>
    </row>
    <row r="99" spans="1:19" hidden="1" outlineLevel="1">
      <c r="A99" s="4"/>
      <c r="B99" s="4"/>
      <c r="C99" s="4"/>
      <c r="D99" s="4"/>
      <c r="E99" s="4"/>
      <c r="F99" s="4"/>
      <c r="G99" s="4"/>
      <c r="H99" s="4"/>
      <c r="I99" s="4"/>
      <c r="J99" s="4"/>
      <c r="K99" s="4"/>
      <c r="L99" s="4"/>
      <c r="M99" s="4"/>
      <c r="N99" s="4"/>
      <c r="O99" s="4"/>
      <c r="P99" s="4"/>
      <c r="Q99" s="4"/>
      <c r="R99" s="4"/>
      <c r="S99" s="4"/>
    </row>
    <row r="100" spans="1:19" hidden="1" outlineLevel="1">
      <c r="A100" s="4"/>
      <c r="B100" s="4"/>
      <c r="C100" s="7"/>
      <c r="D100" s="7"/>
      <c r="E100" s="7"/>
      <c r="F100" s="7"/>
      <c r="G100" s="7"/>
      <c r="H100" s="7"/>
      <c r="I100" s="7"/>
      <c r="J100" s="7"/>
      <c r="K100" s="7"/>
      <c r="L100" s="7"/>
      <c r="M100" s="7"/>
      <c r="N100" s="7"/>
      <c r="O100" s="7"/>
      <c r="P100" s="7"/>
      <c r="Q100" s="7"/>
      <c r="R100" s="7"/>
      <c r="S100" s="4"/>
    </row>
    <row r="101" spans="1:19" ht="29.1" hidden="1" outlineLevel="1">
      <c r="A101" s="4"/>
      <c r="B101" s="4"/>
      <c r="C101" s="7"/>
      <c r="D101" s="116" t="s">
        <v>1361</v>
      </c>
      <c r="E101" s="116" t="s">
        <v>1487</v>
      </c>
      <c r="F101" s="116" t="s">
        <v>1472</v>
      </c>
      <c r="G101" s="116" t="s">
        <v>1473</v>
      </c>
      <c r="H101" s="116" t="s">
        <v>1474</v>
      </c>
      <c r="I101" s="116" t="s">
        <v>1475</v>
      </c>
      <c r="J101" s="116" t="s">
        <v>1476</v>
      </c>
      <c r="K101" s="116" t="s">
        <v>1477</v>
      </c>
      <c r="L101" s="116" t="s">
        <v>1478</v>
      </c>
      <c r="M101" s="116" t="s">
        <v>1479</v>
      </c>
      <c r="N101" s="116" t="s">
        <v>1480</v>
      </c>
      <c r="O101" s="116" t="s">
        <v>1481</v>
      </c>
      <c r="P101" s="116" t="s">
        <v>1482</v>
      </c>
      <c r="Q101" s="116" t="s">
        <v>1483</v>
      </c>
      <c r="R101" s="148"/>
      <c r="S101" s="4"/>
    </row>
    <row r="102" spans="1:19" hidden="1" outlineLevel="1">
      <c r="A102" s="4"/>
      <c r="B102" s="4"/>
      <c r="C102" s="7"/>
      <c r="D102" s="116" t="s">
        <v>1167</v>
      </c>
      <c r="E102" s="116" t="s">
        <v>1181</v>
      </c>
      <c r="F102" s="115">
        <v>135</v>
      </c>
      <c r="G102" s="115">
        <v>0</v>
      </c>
      <c r="H102" s="115">
        <v>0</v>
      </c>
      <c r="I102" s="115">
        <v>0</v>
      </c>
      <c r="J102" s="115">
        <v>0</v>
      </c>
      <c r="K102" s="115">
        <v>0</v>
      </c>
      <c r="L102" s="115">
        <v>0</v>
      </c>
      <c r="M102" s="115">
        <v>0</v>
      </c>
      <c r="N102" s="115">
        <v>0</v>
      </c>
      <c r="O102" s="115">
        <v>0</v>
      </c>
      <c r="P102" s="115">
        <v>25</v>
      </c>
      <c r="Q102" s="115">
        <f>SUM(F102:P102)</f>
        <v>160</v>
      </c>
      <c r="R102" s="157"/>
      <c r="S102" s="4"/>
    </row>
    <row r="103" spans="1:19" hidden="1" outlineLevel="1">
      <c r="A103" s="4"/>
      <c r="B103" s="4"/>
      <c r="C103" s="7"/>
      <c r="D103" s="116" t="s">
        <v>1168</v>
      </c>
      <c r="E103" s="116" t="s">
        <v>1182</v>
      </c>
      <c r="F103" s="115">
        <v>100</v>
      </c>
      <c r="G103" s="115">
        <v>0</v>
      </c>
      <c r="H103" s="115">
        <v>0</v>
      </c>
      <c r="I103" s="115">
        <v>0</v>
      </c>
      <c r="J103" s="115">
        <v>0</v>
      </c>
      <c r="K103" s="115">
        <v>0</v>
      </c>
      <c r="L103" s="115">
        <v>0</v>
      </c>
      <c r="M103" s="115">
        <v>0</v>
      </c>
      <c r="N103" s="115">
        <v>0</v>
      </c>
      <c r="O103" s="115">
        <v>0</v>
      </c>
      <c r="P103" s="115">
        <v>25</v>
      </c>
      <c r="Q103" s="115">
        <f t="shared" ref="Q103:Q109" si="10">SUM(F103:P103)</f>
        <v>125</v>
      </c>
      <c r="R103" s="157"/>
      <c r="S103" s="4"/>
    </row>
    <row r="104" spans="1:19" hidden="1" outlineLevel="1">
      <c r="A104" s="4"/>
      <c r="B104" s="4"/>
      <c r="C104" s="7"/>
      <c r="D104" s="116" t="s">
        <v>978</v>
      </c>
      <c r="E104" s="116" t="s">
        <v>1184</v>
      </c>
      <c r="F104" s="115">
        <v>341.33</v>
      </c>
      <c r="G104" s="115">
        <v>0</v>
      </c>
      <c r="H104" s="115">
        <v>0</v>
      </c>
      <c r="I104" s="115">
        <v>0</v>
      </c>
      <c r="J104" s="115">
        <v>0</v>
      </c>
      <c r="K104" s="115">
        <v>0</v>
      </c>
      <c r="L104" s="115">
        <v>0</v>
      </c>
      <c r="M104" s="115">
        <v>0</v>
      </c>
      <c r="N104" s="115">
        <v>0</v>
      </c>
      <c r="O104" s="115">
        <v>0</v>
      </c>
      <c r="P104" s="115">
        <v>0</v>
      </c>
      <c r="Q104" s="115">
        <f t="shared" si="10"/>
        <v>341.33</v>
      </c>
      <c r="R104" s="157"/>
      <c r="S104" s="4"/>
    </row>
    <row r="105" spans="1:19" hidden="1" outlineLevel="1">
      <c r="A105" s="4"/>
      <c r="B105" s="4"/>
      <c r="C105" s="7"/>
      <c r="D105" s="116" t="s">
        <v>1492</v>
      </c>
      <c r="E105" s="116" t="s">
        <v>1395</v>
      </c>
      <c r="F105" s="115">
        <v>0</v>
      </c>
      <c r="G105" s="115">
        <v>0</v>
      </c>
      <c r="H105" s="115">
        <v>0</v>
      </c>
      <c r="I105" s="115">
        <v>0</v>
      </c>
      <c r="J105" s="115">
        <v>0</v>
      </c>
      <c r="K105" s="115">
        <v>0</v>
      </c>
      <c r="L105" s="115">
        <v>0</v>
      </c>
      <c r="M105" s="115">
        <v>0</v>
      </c>
      <c r="N105" s="115">
        <v>0</v>
      </c>
      <c r="O105" s="115">
        <v>0</v>
      </c>
      <c r="P105" s="115">
        <v>0</v>
      </c>
      <c r="Q105" s="115">
        <f t="shared" si="10"/>
        <v>0</v>
      </c>
      <c r="R105" s="157"/>
      <c r="S105" s="4"/>
    </row>
    <row r="106" spans="1:19" hidden="1" outlineLevel="1">
      <c r="A106" s="4"/>
      <c r="B106" s="4"/>
      <c r="C106" s="7"/>
      <c r="D106" s="116" t="s">
        <v>975</v>
      </c>
      <c r="E106" s="116" t="s">
        <v>1183</v>
      </c>
      <c r="F106" s="115">
        <f>2592.5*2</f>
        <v>5185</v>
      </c>
      <c r="G106" s="115">
        <v>0</v>
      </c>
      <c r="H106" s="115">
        <v>0</v>
      </c>
      <c r="I106" s="115">
        <v>0</v>
      </c>
      <c r="J106" s="115">
        <v>0</v>
      </c>
      <c r="K106" s="115">
        <v>0</v>
      </c>
      <c r="L106" s="115">
        <v>0</v>
      </c>
      <c r="M106" s="115">
        <v>0</v>
      </c>
      <c r="N106" s="115">
        <v>10</v>
      </c>
      <c r="O106" s="115">
        <v>0</v>
      </c>
      <c r="P106" s="115">
        <v>25</v>
      </c>
      <c r="Q106" s="115">
        <f t="shared" si="10"/>
        <v>5220</v>
      </c>
      <c r="R106" s="157"/>
      <c r="S106" s="4"/>
    </row>
    <row r="107" spans="1:19" hidden="1" outlineLevel="1">
      <c r="A107" s="4"/>
      <c r="B107" s="4"/>
      <c r="C107" s="7"/>
      <c r="D107" s="116" t="s">
        <v>982</v>
      </c>
      <c r="E107" s="116" t="s">
        <v>1488</v>
      </c>
      <c r="F107" s="115">
        <v>1003.75</v>
      </c>
      <c r="G107" s="115">
        <v>0</v>
      </c>
      <c r="H107" s="115">
        <v>0</v>
      </c>
      <c r="I107" s="115">
        <v>0</v>
      </c>
      <c r="J107" s="115">
        <v>0</v>
      </c>
      <c r="K107" s="115">
        <v>0</v>
      </c>
      <c r="L107" s="115">
        <v>0</v>
      </c>
      <c r="M107" s="115">
        <v>0</v>
      </c>
      <c r="N107" s="115">
        <v>10</v>
      </c>
      <c r="O107" s="115">
        <v>0</v>
      </c>
      <c r="P107" s="115">
        <v>25</v>
      </c>
      <c r="Q107" s="115">
        <f t="shared" si="10"/>
        <v>1038.75</v>
      </c>
      <c r="R107" s="157"/>
      <c r="S107" s="4"/>
    </row>
    <row r="108" spans="1:19" hidden="1" outlineLevel="1">
      <c r="A108" s="4"/>
      <c r="B108" s="4"/>
      <c r="C108" s="7"/>
      <c r="D108" s="116" t="s">
        <v>1491</v>
      </c>
      <c r="E108" s="116" t="s">
        <v>1182</v>
      </c>
      <c r="F108" s="115">
        <v>10000</v>
      </c>
      <c r="G108" s="115">
        <v>5000</v>
      </c>
      <c r="H108" s="115">
        <v>0</v>
      </c>
      <c r="I108" s="115">
        <v>0</v>
      </c>
      <c r="J108" s="115">
        <v>0</v>
      </c>
      <c r="K108" s="115">
        <v>0</v>
      </c>
      <c r="L108" s="115">
        <v>0</v>
      </c>
      <c r="M108" s="115">
        <v>0</v>
      </c>
      <c r="N108" s="115">
        <v>0</v>
      </c>
      <c r="O108" s="115">
        <v>0</v>
      </c>
      <c r="P108" s="115">
        <v>0</v>
      </c>
      <c r="Q108" s="115">
        <f t="shared" si="10"/>
        <v>15000</v>
      </c>
      <c r="R108" s="157"/>
      <c r="S108" s="4"/>
    </row>
    <row r="109" spans="1:19" hidden="1" outlineLevel="1">
      <c r="A109" s="4"/>
      <c r="B109" s="4"/>
      <c r="C109" s="7"/>
      <c r="D109" s="116"/>
      <c r="E109" s="116"/>
      <c r="F109" s="115">
        <f t="shared" ref="F109:P109" si="11">SUM(F102:F108)</f>
        <v>16765.080000000002</v>
      </c>
      <c r="G109" s="115">
        <f t="shared" si="11"/>
        <v>5000</v>
      </c>
      <c r="H109" s="115">
        <f t="shared" si="11"/>
        <v>0</v>
      </c>
      <c r="I109" s="115">
        <f t="shared" si="11"/>
        <v>0</v>
      </c>
      <c r="J109" s="115">
        <f t="shared" si="11"/>
        <v>0</v>
      </c>
      <c r="K109" s="115">
        <f t="shared" si="11"/>
        <v>0</v>
      </c>
      <c r="L109" s="115">
        <f t="shared" si="11"/>
        <v>0</v>
      </c>
      <c r="M109" s="115">
        <f t="shared" si="11"/>
        <v>0</v>
      </c>
      <c r="N109" s="115">
        <f t="shared" si="11"/>
        <v>20</v>
      </c>
      <c r="O109" s="115">
        <f t="shared" si="11"/>
        <v>0</v>
      </c>
      <c r="P109" s="115">
        <f t="shared" si="11"/>
        <v>100</v>
      </c>
      <c r="Q109" s="115">
        <f t="shared" si="10"/>
        <v>21885.08</v>
      </c>
      <c r="R109" s="158"/>
      <c r="S109" s="4"/>
    </row>
    <row r="110" spans="1:19" hidden="1" outlineLevel="1">
      <c r="A110" s="4"/>
      <c r="B110" s="4"/>
      <c r="C110" s="7"/>
      <c r="D110" s="7"/>
      <c r="E110" s="7"/>
      <c r="F110" s="7"/>
      <c r="G110" s="7"/>
      <c r="H110" s="7"/>
      <c r="I110" s="7"/>
      <c r="J110" s="7"/>
      <c r="K110" s="7"/>
      <c r="L110" s="7"/>
      <c r="M110" s="7"/>
      <c r="N110" s="7"/>
      <c r="O110" s="7"/>
      <c r="P110" s="7"/>
      <c r="Q110" s="7"/>
      <c r="R110" s="7"/>
      <c r="S110" s="4"/>
    </row>
    <row r="111" spans="1:19" collapsed="1">
      <c r="A111" s="4"/>
      <c r="B111" s="4"/>
      <c r="C111" s="4"/>
      <c r="D111" s="4"/>
      <c r="E111" s="4"/>
      <c r="F111" s="4"/>
      <c r="G111" s="4"/>
      <c r="H111" s="4"/>
      <c r="I111" s="4"/>
      <c r="J111" s="4"/>
      <c r="K111" s="4"/>
      <c r="L111" s="4"/>
      <c r="M111" s="4"/>
      <c r="N111" s="4"/>
      <c r="O111" s="4"/>
      <c r="P111" s="4"/>
      <c r="Q111" s="4"/>
      <c r="R111" s="4"/>
      <c r="S111" s="4"/>
    </row>
    <row r="112" spans="1:19" ht="18.600000000000001">
      <c r="A112" s="4"/>
      <c r="B112" s="4"/>
      <c r="C112" s="102" t="s">
        <v>1495</v>
      </c>
      <c r="D112" s="102"/>
      <c r="E112" s="102"/>
      <c r="F112" s="102"/>
      <c r="G112" s="102"/>
      <c r="H112" s="102"/>
      <c r="I112" s="102"/>
      <c r="J112" s="102"/>
      <c r="K112" s="102"/>
      <c r="L112" s="102"/>
      <c r="M112" s="102"/>
      <c r="N112" s="102"/>
      <c r="O112" s="102"/>
      <c r="P112" s="102"/>
      <c r="Q112" s="102"/>
      <c r="R112" s="102"/>
      <c r="S112" s="4"/>
    </row>
    <row r="113" spans="1:19" hidden="1" outlineLevel="1">
      <c r="A113" s="4"/>
      <c r="B113" s="4"/>
      <c r="C113" s="4"/>
      <c r="D113" s="4"/>
      <c r="E113" s="4"/>
      <c r="F113" s="4"/>
      <c r="G113" s="4"/>
      <c r="H113" s="4"/>
      <c r="I113" s="4"/>
      <c r="J113" s="4"/>
      <c r="K113" s="4"/>
      <c r="L113" s="4"/>
      <c r="M113" s="4"/>
      <c r="N113" s="4"/>
      <c r="O113" s="4"/>
      <c r="P113" s="4"/>
      <c r="Q113" s="4"/>
      <c r="R113" s="4"/>
      <c r="S113" s="4"/>
    </row>
    <row r="114" spans="1:19" hidden="1" outlineLevel="1">
      <c r="A114" s="4"/>
      <c r="B114" s="4"/>
      <c r="C114" s="7"/>
      <c r="D114" s="7"/>
      <c r="E114" s="7"/>
      <c r="F114" s="7"/>
      <c r="G114" s="7"/>
      <c r="H114" s="7"/>
      <c r="I114" s="7"/>
      <c r="J114" s="7"/>
      <c r="K114" s="7"/>
      <c r="L114" s="7"/>
      <c r="M114" s="7"/>
      <c r="N114" s="7"/>
      <c r="O114" s="7"/>
      <c r="P114" s="7"/>
      <c r="Q114" s="7"/>
      <c r="R114" s="7"/>
      <c r="S114" s="4"/>
    </row>
    <row r="115" spans="1:19" hidden="1" outlineLevel="1">
      <c r="A115" s="4"/>
      <c r="B115" s="4"/>
      <c r="C115" s="7"/>
      <c r="D115" s="124" t="s">
        <v>1469</v>
      </c>
      <c r="E115" s="7"/>
      <c r="F115" s="7"/>
      <c r="G115" s="7"/>
      <c r="H115" s="7"/>
      <c r="I115" s="7"/>
      <c r="J115" s="7"/>
      <c r="K115" s="7"/>
      <c r="L115" s="7"/>
      <c r="M115" s="7"/>
      <c r="N115" s="7"/>
      <c r="O115" s="7"/>
      <c r="P115" s="7"/>
      <c r="Q115" s="7"/>
      <c r="R115" s="7"/>
      <c r="S115" s="4"/>
    </row>
    <row r="116" spans="1:19" hidden="1" outlineLevel="1">
      <c r="A116" s="4"/>
      <c r="B116" s="4"/>
      <c r="C116" s="7"/>
      <c r="D116" s="126" t="s">
        <v>1470</v>
      </c>
      <c r="E116" s="7"/>
      <c r="F116" s="7"/>
      <c r="G116" s="7"/>
      <c r="H116" s="7"/>
      <c r="I116" s="7"/>
      <c r="J116" s="7"/>
      <c r="K116" s="7"/>
      <c r="L116" s="7"/>
      <c r="M116" s="7"/>
      <c r="N116" s="7"/>
      <c r="O116" s="7"/>
      <c r="P116" s="7"/>
      <c r="Q116" s="7"/>
      <c r="R116" s="7"/>
      <c r="S116" s="4"/>
    </row>
    <row r="117" spans="1:19" hidden="1" outlineLevel="1">
      <c r="A117" s="4"/>
      <c r="B117" s="4"/>
      <c r="C117" s="7"/>
      <c r="D117" s="127" t="s">
        <v>1447</v>
      </c>
      <c r="E117" s="7"/>
      <c r="F117" s="7"/>
      <c r="G117" s="7"/>
      <c r="H117" s="7"/>
      <c r="I117" s="7"/>
      <c r="J117" s="7"/>
      <c r="K117" s="7"/>
      <c r="L117" s="7"/>
      <c r="M117" s="7"/>
      <c r="N117" s="7"/>
      <c r="O117" s="7"/>
      <c r="P117" s="7"/>
      <c r="Q117" s="7"/>
      <c r="R117" s="7"/>
      <c r="S117" s="4"/>
    </row>
    <row r="118" spans="1:19" hidden="1" outlineLevel="1">
      <c r="A118" s="4"/>
      <c r="B118" s="4"/>
      <c r="C118" s="7"/>
      <c r="D118" s="7"/>
      <c r="E118" s="7"/>
      <c r="F118" s="7"/>
      <c r="G118" s="7"/>
      <c r="H118" s="7"/>
      <c r="I118" s="7"/>
      <c r="J118" s="7"/>
      <c r="K118" s="7"/>
      <c r="L118" s="7"/>
      <c r="M118" s="7"/>
      <c r="N118" s="7"/>
      <c r="O118" s="7"/>
      <c r="P118" s="7"/>
      <c r="Q118" s="7"/>
      <c r="R118" s="7"/>
      <c r="S118" s="4"/>
    </row>
    <row r="119" spans="1:19" ht="29.1" hidden="1" outlineLevel="1">
      <c r="A119" s="4"/>
      <c r="B119" s="4"/>
      <c r="C119" s="7"/>
      <c r="D119" s="704" t="s">
        <v>1471</v>
      </c>
      <c r="E119" s="16" t="s">
        <v>1345</v>
      </c>
      <c r="F119" s="116" t="s">
        <v>1472</v>
      </c>
      <c r="G119" s="116" t="s">
        <v>1473</v>
      </c>
      <c r="H119" s="116" t="s">
        <v>1474</v>
      </c>
      <c r="I119" s="116" t="s">
        <v>1475</v>
      </c>
      <c r="J119" s="116" t="s">
        <v>1476</v>
      </c>
      <c r="K119" s="116" t="s">
        <v>1477</v>
      </c>
      <c r="L119" s="116" t="s">
        <v>1478</v>
      </c>
      <c r="M119" s="116" t="s">
        <v>1479</v>
      </c>
      <c r="N119" s="116" t="s">
        <v>1480</v>
      </c>
      <c r="O119" s="116" t="s">
        <v>1481</v>
      </c>
      <c r="P119" s="116" t="s">
        <v>1482</v>
      </c>
      <c r="Q119" s="116" t="s">
        <v>1483</v>
      </c>
      <c r="R119" s="7"/>
      <c r="S119" s="4"/>
    </row>
    <row r="120" spans="1:19" hidden="1" outlineLevel="1">
      <c r="A120" s="4"/>
      <c r="B120" s="4"/>
      <c r="C120" s="7"/>
      <c r="D120" s="705"/>
      <c r="E120" s="16" t="s">
        <v>1484</v>
      </c>
      <c r="F120" s="312">
        <f t="shared" ref="F120:Q120" si="12">F133</f>
        <v>3831.25</v>
      </c>
      <c r="G120" s="312">
        <f t="shared" si="12"/>
        <v>0</v>
      </c>
      <c r="H120" s="312">
        <f t="shared" si="12"/>
        <v>0</v>
      </c>
      <c r="I120" s="312">
        <f t="shared" si="12"/>
        <v>0</v>
      </c>
      <c r="J120" s="312">
        <f t="shared" si="12"/>
        <v>0</v>
      </c>
      <c r="K120" s="312">
        <f t="shared" si="12"/>
        <v>0</v>
      </c>
      <c r="L120" s="312">
        <f t="shared" si="12"/>
        <v>0</v>
      </c>
      <c r="M120" s="312">
        <f t="shared" si="12"/>
        <v>0</v>
      </c>
      <c r="N120" s="312">
        <f t="shared" si="12"/>
        <v>0</v>
      </c>
      <c r="O120" s="312">
        <f t="shared" si="12"/>
        <v>0</v>
      </c>
      <c r="P120" s="312">
        <f t="shared" si="12"/>
        <v>100</v>
      </c>
      <c r="Q120" s="312">
        <f t="shared" si="12"/>
        <v>3931.25</v>
      </c>
      <c r="R120" s="7"/>
      <c r="S120" s="4"/>
    </row>
    <row r="121" spans="1:19" hidden="1" outlineLevel="1">
      <c r="A121" s="4"/>
      <c r="B121" s="4"/>
      <c r="C121" s="7"/>
      <c r="D121" s="705"/>
      <c r="E121" s="16" t="s">
        <v>199</v>
      </c>
      <c r="F121" s="312">
        <f t="shared" ref="F121:Q121" si="13">F146</f>
        <v>6765.08</v>
      </c>
      <c r="G121" s="312">
        <f t="shared" si="13"/>
        <v>0</v>
      </c>
      <c r="H121" s="312">
        <f t="shared" si="13"/>
        <v>0</v>
      </c>
      <c r="I121" s="312">
        <f t="shared" si="13"/>
        <v>0</v>
      </c>
      <c r="J121" s="312">
        <f t="shared" si="13"/>
        <v>0</v>
      </c>
      <c r="K121" s="312">
        <f t="shared" si="13"/>
        <v>0</v>
      </c>
      <c r="L121" s="312">
        <f t="shared" si="13"/>
        <v>0</v>
      </c>
      <c r="M121" s="312">
        <f t="shared" si="13"/>
        <v>0</v>
      </c>
      <c r="N121" s="312">
        <f t="shared" si="13"/>
        <v>20</v>
      </c>
      <c r="O121" s="312">
        <f t="shared" si="13"/>
        <v>0</v>
      </c>
      <c r="P121" s="312">
        <f t="shared" si="13"/>
        <v>100</v>
      </c>
      <c r="Q121" s="312">
        <f t="shared" si="13"/>
        <v>6885.08</v>
      </c>
      <c r="R121" s="7"/>
      <c r="S121" s="4"/>
    </row>
    <row r="122" spans="1:19" hidden="1" outlineLevel="1">
      <c r="A122" s="4"/>
      <c r="B122" s="4"/>
      <c r="C122" s="7"/>
      <c r="D122" s="706"/>
      <c r="E122" s="16" t="s">
        <v>1485</v>
      </c>
      <c r="F122" s="312">
        <f>F121-F120</f>
        <v>2933.83</v>
      </c>
      <c r="G122" s="312">
        <f t="shared" ref="G122:Q122" si="14">G121-G120</f>
        <v>0</v>
      </c>
      <c r="H122" s="312">
        <f t="shared" si="14"/>
        <v>0</v>
      </c>
      <c r="I122" s="312">
        <f t="shared" si="14"/>
        <v>0</v>
      </c>
      <c r="J122" s="312">
        <f t="shared" si="14"/>
        <v>0</v>
      </c>
      <c r="K122" s="312">
        <f t="shared" si="14"/>
        <v>0</v>
      </c>
      <c r="L122" s="312">
        <f t="shared" si="14"/>
        <v>0</v>
      </c>
      <c r="M122" s="312">
        <f t="shared" si="14"/>
        <v>0</v>
      </c>
      <c r="N122" s="312">
        <f t="shared" si="14"/>
        <v>20</v>
      </c>
      <c r="O122" s="312">
        <f t="shared" si="14"/>
        <v>0</v>
      </c>
      <c r="P122" s="312">
        <f t="shared" si="14"/>
        <v>0</v>
      </c>
      <c r="Q122" s="312">
        <f t="shared" si="14"/>
        <v>2953.83</v>
      </c>
      <c r="R122" s="7"/>
      <c r="S122" s="4"/>
    </row>
    <row r="123" spans="1:19" hidden="1" outlineLevel="1">
      <c r="A123" s="4"/>
      <c r="B123" s="4"/>
      <c r="C123" s="7"/>
      <c r="D123" s="7"/>
      <c r="E123" s="7"/>
      <c r="F123" s="7"/>
      <c r="G123" s="7"/>
      <c r="H123" s="7"/>
      <c r="I123" s="7"/>
      <c r="J123" s="7"/>
      <c r="K123" s="7"/>
      <c r="L123" s="7"/>
      <c r="M123" s="7"/>
      <c r="N123" s="7"/>
      <c r="O123" s="7"/>
      <c r="P123" s="7"/>
      <c r="Q123" s="7"/>
      <c r="R123" s="7"/>
      <c r="S123" s="4"/>
    </row>
    <row r="124" spans="1:19" collapsed="1">
      <c r="A124" s="4"/>
      <c r="B124" s="4"/>
      <c r="C124" s="4"/>
      <c r="D124" s="4"/>
      <c r="E124" s="4"/>
      <c r="F124" s="4"/>
      <c r="G124" s="4"/>
      <c r="H124" s="4"/>
      <c r="I124" s="4"/>
      <c r="J124" s="4"/>
      <c r="K124" s="4"/>
      <c r="L124" s="4"/>
      <c r="M124" s="4"/>
      <c r="N124" s="4"/>
      <c r="O124" s="4"/>
      <c r="P124" s="4"/>
      <c r="Q124" s="4"/>
      <c r="R124" s="4"/>
      <c r="S124" s="4"/>
    </row>
    <row r="125" spans="1:19" ht="18.600000000000001">
      <c r="A125" s="102"/>
      <c r="B125" s="102"/>
      <c r="C125" s="562" t="s">
        <v>1496</v>
      </c>
      <c r="D125" s="102"/>
      <c r="E125" s="102"/>
      <c r="F125" s="102"/>
      <c r="G125" s="102"/>
      <c r="H125" s="102"/>
      <c r="I125" s="102"/>
      <c r="J125" s="102"/>
      <c r="K125" s="102"/>
      <c r="L125" s="102"/>
      <c r="M125" s="102"/>
      <c r="N125" s="102"/>
      <c r="O125" s="102"/>
      <c r="P125" s="102"/>
      <c r="Q125" s="102"/>
      <c r="R125" s="102"/>
      <c r="S125" s="4"/>
    </row>
    <row r="126" spans="1:19" hidden="1" outlineLevel="1">
      <c r="A126" s="4"/>
      <c r="B126" s="4"/>
      <c r="C126" s="4"/>
      <c r="D126" s="4"/>
      <c r="E126" s="4"/>
      <c r="F126" s="4"/>
      <c r="G126" s="4"/>
      <c r="H126" s="4"/>
      <c r="I126" s="4"/>
      <c r="J126" s="4"/>
      <c r="K126" s="4"/>
      <c r="L126" s="4"/>
      <c r="M126" s="4"/>
      <c r="N126" s="4"/>
      <c r="O126" s="4"/>
      <c r="P126" s="4"/>
      <c r="Q126" s="4"/>
      <c r="R126" s="4"/>
      <c r="S126" s="4"/>
    </row>
    <row r="127" spans="1:19" hidden="1" outlineLevel="1">
      <c r="A127" s="4"/>
      <c r="B127" s="4"/>
      <c r="C127" s="7"/>
      <c r="D127" s="7"/>
      <c r="E127" s="7"/>
      <c r="F127" s="7"/>
      <c r="G127" s="7"/>
      <c r="H127" s="7"/>
      <c r="I127" s="7"/>
      <c r="J127" s="7"/>
      <c r="K127" s="7"/>
      <c r="L127" s="7"/>
      <c r="M127" s="7"/>
      <c r="N127" s="7"/>
      <c r="O127" s="7"/>
      <c r="P127" s="7"/>
      <c r="Q127" s="7"/>
      <c r="R127" s="7"/>
      <c r="S127" s="4"/>
    </row>
    <row r="128" spans="1:19" ht="29.1" hidden="1" outlineLevel="1">
      <c r="A128" s="4"/>
      <c r="B128" s="4"/>
      <c r="C128" s="7"/>
      <c r="D128" s="116" t="s">
        <v>1361</v>
      </c>
      <c r="E128" s="116" t="s">
        <v>1487</v>
      </c>
      <c r="F128" s="116" t="s">
        <v>1472</v>
      </c>
      <c r="G128" s="116" t="s">
        <v>1473</v>
      </c>
      <c r="H128" s="116" t="s">
        <v>1474</v>
      </c>
      <c r="I128" s="116" t="s">
        <v>1475</v>
      </c>
      <c r="J128" s="116" t="s">
        <v>1476</v>
      </c>
      <c r="K128" s="116" t="s">
        <v>1477</v>
      </c>
      <c r="L128" s="116" t="s">
        <v>1478</v>
      </c>
      <c r="M128" s="116" t="s">
        <v>1479</v>
      </c>
      <c r="N128" s="116" t="s">
        <v>1480</v>
      </c>
      <c r="O128" s="116" t="s">
        <v>1481</v>
      </c>
      <c r="P128" s="116" t="s">
        <v>1482</v>
      </c>
      <c r="Q128" s="116" t="s">
        <v>1483</v>
      </c>
      <c r="R128" s="148"/>
      <c r="S128" s="4"/>
    </row>
    <row r="129" spans="1:19" hidden="1" outlineLevel="1">
      <c r="A129" s="4"/>
      <c r="B129" s="4"/>
      <c r="C129" s="7"/>
      <c r="D129" s="116" t="s">
        <v>1167</v>
      </c>
      <c r="E129" s="118" t="s">
        <v>1181</v>
      </c>
      <c r="F129" s="110">
        <v>135</v>
      </c>
      <c r="G129" s="110">
        <v>0</v>
      </c>
      <c r="H129" s="110">
        <v>0</v>
      </c>
      <c r="I129" s="110">
        <v>0</v>
      </c>
      <c r="J129" s="110">
        <v>0</v>
      </c>
      <c r="K129" s="110">
        <v>0</v>
      </c>
      <c r="L129" s="110">
        <v>0</v>
      </c>
      <c r="M129" s="110">
        <v>0</v>
      </c>
      <c r="N129" s="110">
        <v>0</v>
      </c>
      <c r="O129" s="110">
        <v>0</v>
      </c>
      <c r="P129" s="110">
        <v>25</v>
      </c>
      <c r="Q129" s="110">
        <f>SUM(Table4798456[[#This Row],[Consumption (USD)]:[Vendor Support (USD)]])</f>
        <v>160</v>
      </c>
      <c r="R129" s="157"/>
      <c r="S129" s="4"/>
    </row>
    <row r="130" spans="1:19" hidden="1" outlineLevel="1">
      <c r="A130" s="4"/>
      <c r="B130" s="4"/>
      <c r="C130" s="7"/>
      <c r="D130" s="116" t="s">
        <v>1168</v>
      </c>
      <c r="E130" s="118" t="s">
        <v>1182</v>
      </c>
      <c r="F130" s="110">
        <v>100</v>
      </c>
      <c r="G130" s="110">
        <v>0</v>
      </c>
      <c r="H130" s="110">
        <v>0</v>
      </c>
      <c r="I130" s="110">
        <v>0</v>
      </c>
      <c r="J130" s="110">
        <v>0</v>
      </c>
      <c r="K130" s="115">
        <v>0</v>
      </c>
      <c r="L130" s="115">
        <v>0</v>
      </c>
      <c r="M130" s="115">
        <v>0</v>
      </c>
      <c r="N130" s="115">
        <v>0</v>
      </c>
      <c r="O130" s="115">
        <v>0</v>
      </c>
      <c r="P130" s="115">
        <v>25</v>
      </c>
      <c r="Q130" s="110">
        <f>SUM(Table4798456[[#This Row],[Consumption (USD)]:[Vendor Support (USD)]])</f>
        <v>125</v>
      </c>
      <c r="R130" s="157"/>
      <c r="S130" s="4"/>
    </row>
    <row r="131" spans="1:19" hidden="1" outlineLevel="1">
      <c r="A131" s="4"/>
      <c r="B131" s="4"/>
      <c r="C131" s="7"/>
      <c r="D131" s="116" t="s">
        <v>975</v>
      </c>
      <c r="E131" s="118" t="s">
        <v>1183</v>
      </c>
      <c r="F131" s="115">
        <v>2592.5</v>
      </c>
      <c r="G131" s="110">
        <v>0</v>
      </c>
      <c r="H131" s="110">
        <v>0</v>
      </c>
      <c r="I131" s="110">
        <v>0</v>
      </c>
      <c r="J131" s="110">
        <v>0</v>
      </c>
      <c r="K131" s="115">
        <v>0</v>
      </c>
      <c r="L131" s="115">
        <v>0</v>
      </c>
      <c r="M131" s="115">
        <v>0</v>
      </c>
      <c r="N131" s="115">
        <v>0</v>
      </c>
      <c r="O131" s="115">
        <v>0</v>
      </c>
      <c r="P131" s="115">
        <v>25</v>
      </c>
      <c r="Q131" s="110">
        <f>SUM(Table4798456[[#This Row],[Consumption (USD)]:[Vendor Support (USD)]])</f>
        <v>2617.5</v>
      </c>
      <c r="R131" s="157"/>
      <c r="S131" s="4"/>
    </row>
    <row r="132" spans="1:19" hidden="1" outlineLevel="1">
      <c r="A132" s="4"/>
      <c r="B132" s="4"/>
      <c r="C132" s="7"/>
      <c r="D132" s="116" t="s">
        <v>982</v>
      </c>
      <c r="E132" s="118" t="s">
        <v>1488</v>
      </c>
      <c r="F132" s="115">
        <v>1003.75</v>
      </c>
      <c r="G132" s="110">
        <v>0</v>
      </c>
      <c r="H132" s="110">
        <v>0</v>
      </c>
      <c r="I132" s="110">
        <v>0</v>
      </c>
      <c r="J132" s="110">
        <v>0</v>
      </c>
      <c r="K132" s="115">
        <v>0</v>
      </c>
      <c r="L132" s="115">
        <v>0</v>
      </c>
      <c r="M132" s="115">
        <v>0</v>
      </c>
      <c r="N132" s="115">
        <v>0</v>
      </c>
      <c r="O132" s="115">
        <v>0</v>
      </c>
      <c r="P132" s="115">
        <v>25</v>
      </c>
      <c r="Q132" s="110">
        <f>SUM(Table4798456[[#This Row],[Consumption (USD)]:[Vendor Support (USD)]])</f>
        <v>1028.75</v>
      </c>
      <c r="R132" s="157"/>
      <c r="S132" s="4"/>
    </row>
    <row r="133" spans="1:19" hidden="1" outlineLevel="1">
      <c r="A133" s="4"/>
      <c r="B133" s="4"/>
      <c r="C133" s="7"/>
      <c r="D133" s="118"/>
      <c r="E133" s="118"/>
      <c r="F133" s="115">
        <f t="shared" ref="F133:P133" si="15">SUM(F129:F132)</f>
        <v>3831.25</v>
      </c>
      <c r="G133" s="115">
        <f t="shared" si="15"/>
        <v>0</v>
      </c>
      <c r="H133" s="115">
        <f t="shared" si="15"/>
        <v>0</v>
      </c>
      <c r="I133" s="115">
        <f t="shared" si="15"/>
        <v>0</v>
      </c>
      <c r="J133" s="115">
        <f t="shared" si="15"/>
        <v>0</v>
      </c>
      <c r="K133" s="115">
        <f t="shared" si="15"/>
        <v>0</v>
      </c>
      <c r="L133" s="115">
        <f t="shared" si="15"/>
        <v>0</v>
      </c>
      <c r="M133" s="115">
        <f t="shared" si="15"/>
        <v>0</v>
      </c>
      <c r="N133" s="115">
        <f t="shared" si="15"/>
        <v>0</v>
      </c>
      <c r="O133" s="115">
        <f t="shared" si="15"/>
        <v>0</v>
      </c>
      <c r="P133" s="115">
        <f t="shared" si="15"/>
        <v>100</v>
      </c>
      <c r="Q133" s="110">
        <f>SUM(Table4798456[[#This Row],[Consumption (USD)]:[Vendor Support (USD)]])</f>
        <v>3931.25</v>
      </c>
      <c r="R133" s="158"/>
      <c r="S133" s="4"/>
    </row>
    <row r="134" spans="1:19" hidden="1" outlineLevel="1">
      <c r="A134" s="4"/>
      <c r="B134" s="4"/>
      <c r="C134" s="7"/>
      <c r="D134" s="146"/>
      <c r="E134" s="146"/>
      <c r="F134" s="146"/>
      <c r="G134" s="146"/>
      <c r="H134" s="146"/>
      <c r="I134" s="147"/>
      <c r="J134" s="148"/>
      <c r="K134" s="148"/>
      <c r="L134" s="148"/>
      <c r="M134" s="148"/>
      <c r="N134" s="149"/>
      <c r="O134" s="148"/>
      <c r="P134" s="149"/>
      <c r="Q134" s="150"/>
      <c r="R134" s="150"/>
      <c r="S134" s="155"/>
    </row>
    <row r="135" spans="1:19" collapsed="1">
      <c r="A135" s="4"/>
      <c r="B135" s="4"/>
      <c r="C135" s="4"/>
      <c r="D135" s="151"/>
      <c r="E135" s="151"/>
      <c r="F135" s="151"/>
      <c r="G135" s="151"/>
      <c r="H135" s="151"/>
      <c r="I135" s="152"/>
      <c r="J135" s="153"/>
      <c r="K135" s="153"/>
      <c r="L135" s="153"/>
      <c r="M135" s="153"/>
      <c r="N135" s="154"/>
      <c r="O135" s="153"/>
      <c r="P135" s="154"/>
      <c r="Q135" s="155"/>
      <c r="R135" s="155"/>
      <c r="S135" s="155"/>
    </row>
    <row r="136" spans="1:19" ht="18.600000000000001">
      <c r="A136" s="102"/>
      <c r="B136" s="102"/>
      <c r="C136" s="562" t="s">
        <v>1455</v>
      </c>
      <c r="D136" s="102"/>
      <c r="E136" s="102"/>
      <c r="F136" s="102"/>
      <c r="G136" s="102"/>
      <c r="H136" s="102"/>
      <c r="I136" s="102"/>
      <c r="J136" s="102"/>
      <c r="K136" s="102"/>
      <c r="L136" s="102"/>
      <c r="M136" s="102"/>
      <c r="N136" s="102"/>
      <c r="O136" s="102"/>
      <c r="P136" s="102"/>
      <c r="Q136" s="102"/>
      <c r="R136" s="102"/>
      <c r="S136" s="4"/>
    </row>
    <row r="137" spans="1:19" hidden="1" outlineLevel="1">
      <c r="A137" s="4"/>
      <c r="B137" s="4"/>
      <c r="C137" s="4"/>
      <c r="D137" s="4"/>
      <c r="E137" s="4"/>
      <c r="F137" s="4"/>
      <c r="G137" s="4"/>
      <c r="H137" s="4"/>
      <c r="I137" s="4"/>
      <c r="J137" s="4"/>
      <c r="K137" s="4"/>
      <c r="L137" s="4"/>
      <c r="M137" s="4"/>
      <c r="N137" s="4"/>
      <c r="O137" s="4"/>
      <c r="P137" s="4"/>
      <c r="Q137" s="4"/>
      <c r="R137" s="4"/>
      <c r="S137" s="4"/>
    </row>
    <row r="138" spans="1:19" hidden="1" outlineLevel="1">
      <c r="A138" s="4"/>
      <c r="B138" s="4"/>
      <c r="C138" s="7"/>
      <c r="D138" s="7"/>
      <c r="E138" s="7"/>
      <c r="F138" s="7"/>
      <c r="G138" s="7"/>
      <c r="H138" s="7"/>
      <c r="I138" s="7"/>
      <c r="J138" s="7"/>
      <c r="K138" s="7"/>
      <c r="L138" s="7"/>
      <c r="M138" s="7"/>
      <c r="N138" s="7"/>
      <c r="O138" s="7"/>
      <c r="P138" s="7"/>
      <c r="Q138" s="7"/>
      <c r="R138" s="7"/>
      <c r="S138" s="4"/>
    </row>
    <row r="139" spans="1:19" ht="29.1" hidden="1" outlineLevel="1">
      <c r="A139" s="4"/>
      <c r="B139" s="4"/>
      <c r="C139" s="7"/>
      <c r="D139" s="116" t="s">
        <v>1361</v>
      </c>
      <c r="E139" s="116" t="s">
        <v>1487</v>
      </c>
      <c r="F139" s="116" t="s">
        <v>1472</v>
      </c>
      <c r="G139" s="116" t="s">
        <v>1473</v>
      </c>
      <c r="H139" s="116" t="s">
        <v>1474</v>
      </c>
      <c r="I139" s="116" t="s">
        <v>1475</v>
      </c>
      <c r="J139" s="116" t="s">
        <v>1476</v>
      </c>
      <c r="K139" s="116" t="s">
        <v>1477</v>
      </c>
      <c r="L139" s="116" t="s">
        <v>1478</v>
      </c>
      <c r="M139" s="116" t="s">
        <v>1479</v>
      </c>
      <c r="N139" s="116" t="s">
        <v>1480</v>
      </c>
      <c r="O139" s="116" t="s">
        <v>1481</v>
      </c>
      <c r="P139" s="116" t="s">
        <v>1482</v>
      </c>
      <c r="Q139" s="116" t="s">
        <v>1483</v>
      </c>
      <c r="R139" s="148"/>
      <c r="S139" s="4"/>
    </row>
    <row r="140" spans="1:19" hidden="1" outlineLevel="1">
      <c r="A140" s="4"/>
      <c r="B140" s="4"/>
      <c r="C140" s="7"/>
      <c r="D140" s="116" t="s">
        <v>1167</v>
      </c>
      <c r="E140" s="116" t="s">
        <v>1181</v>
      </c>
      <c r="F140" s="110">
        <v>135</v>
      </c>
      <c r="G140" s="110">
        <v>0</v>
      </c>
      <c r="H140" s="110">
        <v>0</v>
      </c>
      <c r="I140" s="110">
        <v>0</v>
      </c>
      <c r="J140" s="110">
        <v>0</v>
      </c>
      <c r="K140" s="110">
        <v>0</v>
      </c>
      <c r="L140" s="110">
        <v>0</v>
      </c>
      <c r="M140" s="110">
        <v>0</v>
      </c>
      <c r="N140" s="110">
        <v>0</v>
      </c>
      <c r="O140" s="110">
        <v>0</v>
      </c>
      <c r="P140" s="110">
        <v>25</v>
      </c>
      <c r="Q140" s="110">
        <f>SUM(F140:P140)</f>
        <v>160</v>
      </c>
      <c r="R140" s="157"/>
      <c r="S140" s="4"/>
    </row>
    <row r="141" spans="1:19" hidden="1" outlineLevel="1">
      <c r="A141" s="4"/>
      <c r="B141" s="4"/>
      <c r="C141" s="7"/>
      <c r="D141" s="116" t="s">
        <v>1168</v>
      </c>
      <c r="E141" s="116" t="s">
        <v>1182</v>
      </c>
      <c r="F141" s="110">
        <v>100</v>
      </c>
      <c r="G141" s="110">
        <v>0</v>
      </c>
      <c r="H141" s="110">
        <v>0</v>
      </c>
      <c r="I141" s="110">
        <v>0</v>
      </c>
      <c r="J141" s="110">
        <v>0</v>
      </c>
      <c r="K141" s="110">
        <v>0</v>
      </c>
      <c r="L141" s="110">
        <v>0</v>
      </c>
      <c r="M141" s="110">
        <v>0</v>
      </c>
      <c r="N141" s="110">
        <v>0</v>
      </c>
      <c r="O141" s="110">
        <v>0</v>
      </c>
      <c r="P141" s="110">
        <v>25</v>
      </c>
      <c r="Q141" s="110">
        <f t="shared" ref="Q141:Q146" si="16">SUM(F141:P141)</f>
        <v>125</v>
      </c>
      <c r="R141" s="157"/>
      <c r="S141" s="4"/>
    </row>
    <row r="142" spans="1:19" hidden="1" outlineLevel="1">
      <c r="A142" s="4"/>
      <c r="B142" s="4"/>
      <c r="C142" s="7"/>
      <c r="D142" s="116" t="s">
        <v>978</v>
      </c>
      <c r="E142" s="116" t="s">
        <v>1184</v>
      </c>
      <c r="F142" s="110">
        <v>341.33</v>
      </c>
      <c r="G142" s="110">
        <v>0</v>
      </c>
      <c r="H142" s="110">
        <v>0</v>
      </c>
      <c r="I142" s="110">
        <v>0</v>
      </c>
      <c r="J142" s="110">
        <v>0</v>
      </c>
      <c r="K142" s="110">
        <v>0</v>
      </c>
      <c r="L142" s="110">
        <v>0</v>
      </c>
      <c r="M142" s="110">
        <v>0</v>
      </c>
      <c r="N142" s="110">
        <v>0</v>
      </c>
      <c r="O142" s="110">
        <v>0</v>
      </c>
      <c r="P142" s="110">
        <v>0</v>
      </c>
      <c r="Q142" s="110">
        <f t="shared" si="16"/>
        <v>341.33</v>
      </c>
      <c r="R142" s="157"/>
      <c r="S142" s="4"/>
    </row>
    <row r="143" spans="1:19" hidden="1" outlineLevel="1">
      <c r="A143" s="4"/>
      <c r="B143" s="4"/>
      <c r="C143" s="7"/>
      <c r="D143" s="116" t="s">
        <v>1492</v>
      </c>
      <c r="E143" s="116" t="s">
        <v>1395</v>
      </c>
      <c r="F143" s="110">
        <v>0</v>
      </c>
      <c r="G143" s="110">
        <v>0</v>
      </c>
      <c r="H143" s="110">
        <v>0</v>
      </c>
      <c r="I143" s="110">
        <v>0</v>
      </c>
      <c r="J143" s="110">
        <v>0</v>
      </c>
      <c r="K143" s="110">
        <v>0</v>
      </c>
      <c r="L143" s="110">
        <v>0</v>
      </c>
      <c r="M143" s="110">
        <v>0</v>
      </c>
      <c r="N143" s="110">
        <v>0</v>
      </c>
      <c r="O143" s="110">
        <v>0</v>
      </c>
      <c r="P143" s="110">
        <v>0</v>
      </c>
      <c r="Q143" s="110">
        <f t="shared" si="16"/>
        <v>0</v>
      </c>
      <c r="R143" s="157"/>
      <c r="S143" s="4"/>
    </row>
    <row r="144" spans="1:19" hidden="1" outlineLevel="1">
      <c r="A144" s="4"/>
      <c r="B144" s="4"/>
      <c r="C144" s="7"/>
      <c r="D144" s="116" t="s">
        <v>975</v>
      </c>
      <c r="E144" s="116" t="s">
        <v>1183</v>
      </c>
      <c r="F144" s="110">
        <f>2592.5*2</f>
        <v>5185</v>
      </c>
      <c r="G144" s="110">
        <v>0</v>
      </c>
      <c r="H144" s="110">
        <v>0</v>
      </c>
      <c r="I144" s="110">
        <v>0</v>
      </c>
      <c r="J144" s="110">
        <v>0</v>
      </c>
      <c r="K144" s="110">
        <v>0</v>
      </c>
      <c r="L144" s="110">
        <v>0</v>
      </c>
      <c r="M144" s="110">
        <v>0</v>
      </c>
      <c r="N144" s="110">
        <v>10</v>
      </c>
      <c r="O144" s="110">
        <v>0</v>
      </c>
      <c r="P144" s="110">
        <v>25</v>
      </c>
      <c r="Q144" s="110">
        <f t="shared" si="16"/>
        <v>5220</v>
      </c>
      <c r="R144" s="157"/>
      <c r="S144" s="4"/>
    </row>
    <row r="145" spans="1:19" hidden="1" outlineLevel="1">
      <c r="A145" s="4"/>
      <c r="B145" s="4"/>
      <c r="C145" s="7"/>
      <c r="D145" s="116" t="s">
        <v>982</v>
      </c>
      <c r="E145" s="116" t="s">
        <v>1488</v>
      </c>
      <c r="F145" s="110">
        <v>1003.75</v>
      </c>
      <c r="G145" s="110">
        <v>0</v>
      </c>
      <c r="H145" s="110">
        <v>0</v>
      </c>
      <c r="I145" s="110">
        <v>0</v>
      </c>
      <c r="J145" s="110">
        <v>0</v>
      </c>
      <c r="K145" s="110">
        <v>0</v>
      </c>
      <c r="L145" s="110">
        <v>0</v>
      </c>
      <c r="M145" s="110">
        <v>0</v>
      </c>
      <c r="N145" s="110">
        <v>10</v>
      </c>
      <c r="O145" s="110">
        <v>0</v>
      </c>
      <c r="P145" s="110">
        <v>25</v>
      </c>
      <c r="Q145" s="110">
        <f t="shared" si="16"/>
        <v>1038.75</v>
      </c>
      <c r="R145" s="157"/>
      <c r="S145" s="4"/>
    </row>
    <row r="146" spans="1:19" hidden="1" outlineLevel="1">
      <c r="A146" s="4"/>
      <c r="B146" s="4"/>
      <c r="C146" s="7"/>
      <c r="D146" s="116"/>
      <c r="E146" s="116"/>
      <c r="F146" s="110">
        <f t="shared" ref="F146:P146" si="17">SUM(F140:F145)</f>
        <v>6765.08</v>
      </c>
      <c r="G146" s="110">
        <f t="shared" si="17"/>
        <v>0</v>
      </c>
      <c r="H146" s="110">
        <f t="shared" si="17"/>
        <v>0</v>
      </c>
      <c r="I146" s="110">
        <f t="shared" si="17"/>
        <v>0</v>
      </c>
      <c r="J146" s="110">
        <f t="shared" si="17"/>
        <v>0</v>
      </c>
      <c r="K146" s="110">
        <f t="shared" si="17"/>
        <v>0</v>
      </c>
      <c r="L146" s="110">
        <f t="shared" si="17"/>
        <v>0</v>
      </c>
      <c r="M146" s="110">
        <f t="shared" si="17"/>
        <v>0</v>
      </c>
      <c r="N146" s="110">
        <f t="shared" si="17"/>
        <v>20</v>
      </c>
      <c r="O146" s="110">
        <f t="shared" si="17"/>
        <v>0</v>
      </c>
      <c r="P146" s="110">
        <f t="shared" si="17"/>
        <v>100</v>
      </c>
      <c r="Q146" s="110">
        <f t="shared" si="16"/>
        <v>6885.08</v>
      </c>
      <c r="R146" s="158"/>
      <c r="S146" s="4"/>
    </row>
    <row r="147" spans="1:19" hidden="1" outlineLevel="1">
      <c r="A147" s="4"/>
      <c r="B147" s="4"/>
      <c r="C147" s="7"/>
      <c r="D147" s="7"/>
      <c r="E147" s="7"/>
      <c r="F147" s="7"/>
      <c r="G147" s="7"/>
      <c r="H147" s="7"/>
      <c r="I147" s="7"/>
      <c r="J147" s="7"/>
      <c r="K147" s="7"/>
      <c r="L147" s="7"/>
      <c r="M147" s="7"/>
      <c r="N147" s="7"/>
      <c r="O147" s="7"/>
      <c r="P147" s="7"/>
      <c r="Q147" s="7"/>
      <c r="R147" s="7"/>
      <c r="S147" s="4"/>
    </row>
    <row r="148" spans="1:19" collapsed="1">
      <c r="A148" s="4"/>
      <c r="B148" s="4"/>
      <c r="C148" s="4"/>
      <c r="D148" s="4"/>
      <c r="E148" s="4"/>
      <c r="F148" s="4"/>
      <c r="G148" s="4"/>
      <c r="H148" s="4"/>
      <c r="I148" s="4"/>
      <c r="J148" s="4"/>
      <c r="K148" s="4"/>
      <c r="L148" s="4"/>
      <c r="M148" s="4"/>
      <c r="N148" s="4"/>
      <c r="O148" s="4"/>
      <c r="P148" s="4"/>
      <c r="Q148" s="4"/>
      <c r="R148" s="4"/>
      <c r="S148" s="4"/>
    </row>
    <row r="149" spans="1:19" ht="18.600000000000001">
      <c r="A149" s="4"/>
      <c r="B149" s="4"/>
      <c r="C149" s="102" t="s">
        <v>1497</v>
      </c>
      <c r="D149" s="102"/>
      <c r="E149" s="102"/>
      <c r="F149" s="102"/>
      <c r="G149" s="102"/>
      <c r="H149" s="102"/>
      <c r="I149" s="102"/>
      <c r="J149" s="102"/>
      <c r="K149" s="102"/>
      <c r="L149" s="102"/>
      <c r="M149" s="102"/>
      <c r="N149" s="102"/>
      <c r="O149" s="102"/>
      <c r="P149" s="102"/>
      <c r="Q149" s="102"/>
      <c r="R149" s="102"/>
      <c r="S149" s="4"/>
    </row>
    <row r="150" spans="1:19" hidden="1" outlineLevel="1">
      <c r="A150" s="4"/>
      <c r="B150" s="4"/>
      <c r="C150" s="4"/>
      <c r="D150" s="4"/>
      <c r="E150" s="4"/>
      <c r="F150" s="4"/>
      <c r="G150" s="4"/>
      <c r="H150" s="4"/>
      <c r="I150" s="4"/>
      <c r="J150" s="4"/>
      <c r="K150" s="4"/>
      <c r="L150" s="4"/>
      <c r="M150" s="4"/>
      <c r="N150" s="4"/>
      <c r="O150" s="4"/>
      <c r="P150" s="4"/>
      <c r="Q150" s="4"/>
      <c r="R150" s="4"/>
      <c r="S150" s="4"/>
    </row>
    <row r="151" spans="1:19" hidden="1" outlineLevel="1">
      <c r="A151" s="4"/>
      <c r="B151" s="4"/>
      <c r="C151" s="7"/>
      <c r="D151" s="7"/>
      <c r="E151" s="7"/>
      <c r="F151" s="7"/>
      <c r="G151" s="7"/>
      <c r="H151" s="7"/>
      <c r="I151" s="7"/>
      <c r="J151" s="7"/>
      <c r="K151" s="7"/>
      <c r="L151" s="7"/>
      <c r="M151" s="7"/>
      <c r="N151" s="7"/>
      <c r="O151" s="7"/>
      <c r="P151" s="7"/>
      <c r="Q151" s="7"/>
      <c r="R151" s="7"/>
      <c r="S151" s="4"/>
    </row>
    <row r="152" spans="1:19" hidden="1" outlineLevel="1">
      <c r="A152" s="4"/>
      <c r="B152" s="4"/>
      <c r="C152" s="7"/>
      <c r="D152" s="124" t="s">
        <v>1469</v>
      </c>
      <c r="E152" s="7"/>
      <c r="F152" s="7"/>
      <c r="G152" s="7"/>
      <c r="H152" s="7"/>
      <c r="I152" s="7"/>
      <c r="J152" s="7"/>
      <c r="K152" s="7"/>
      <c r="L152" s="7"/>
      <c r="M152" s="7"/>
      <c r="N152" s="7"/>
      <c r="O152" s="7"/>
      <c r="P152" s="7"/>
      <c r="Q152" s="7"/>
      <c r="R152" s="7"/>
      <c r="S152" s="4"/>
    </row>
    <row r="153" spans="1:19" hidden="1" outlineLevel="1">
      <c r="A153" s="4"/>
      <c r="B153" s="4"/>
      <c r="C153" s="7"/>
      <c r="D153" s="126" t="s">
        <v>1470</v>
      </c>
      <c r="E153" s="7"/>
      <c r="F153" s="7"/>
      <c r="G153" s="7"/>
      <c r="H153" s="7"/>
      <c r="I153" s="7"/>
      <c r="J153" s="7"/>
      <c r="K153" s="7"/>
      <c r="L153" s="7"/>
      <c r="M153" s="7"/>
      <c r="N153" s="7"/>
      <c r="O153" s="7"/>
      <c r="P153" s="7"/>
      <c r="Q153" s="7"/>
      <c r="R153" s="7"/>
      <c r="S153" s="4"/>
    </row>
    <row r="154" spans="1:19" hidden="1" outlineLevel="1">
      <c r="A154" s="4"/>
      <c r="B154" s="4"/>
      <c r="C154" s="7"/>
      <c r="D154" s="127" t="s">
        <v>1447</v>
      </c>
      <c r="E154" s="7"/>
      <c r="F154" s="7"/>
      <c r="G154" s="7"/>
      <c r="H154" s="7"/>
      <c r="I154" s="7"/>
      <c r="J154" s="7"/>
      <c r="K154" s="7"/>
      <c r="L154" s="7"/>
      <c r="M154" s="7"/>
      <c r="N154" s="7"/>
      <c r="O154" s="7"/>
      <c r="P154" s="7"/>
      <c r="Q154" s="7"/>
      <c r="R154" s="7"/>
      <c r="S154" s="4"/>
    </row>
    <row r="155" spans="1:19" hidden="1" outlineLevel="1">
      <c r="A155" s="4"/>
      <c r="B155" s="4"/>
      <c r="C155" s="7"/>
      <c r="D155" s="7"/>
      <c r="E155" s="7"/>
      <c r="F155" s="7"/>
      <c r="G155" s="7"/>
      <c r="H155" s="7"/>
      <c r="I155" s="7"/>
      <c r="J155" s="7"/>
      <c r="K155" s="7"/>
      <c r="L155" s="7"/>
      <c r="M155" s="7"/>
      <c r="N155" s="7"/>
      <c r="O155" s="7"/>
      <c r="P155" s="7"/>
      <c r="Q155" s="7"/>
      <c r="R155" s="7"/>
      <c r="S155" s="4"/>
    </row>
    <row r="156" spans="1:19" ht="29.1" hidden="1" outlineLevel="1">
      <c r="A156" s="4"/>
      <c r="B156" s="4"/>
      <c r="C156" s="7"/>
      <c r="D156" s="704" t="s">
        <v>1471</v>
      </c>
      <c r="E156" s="16" t="s">
        <v>1345</v>
      </c>
      <c r="F156" s="116" t="s">
        <v>1472</v>
      </c>
      <c r="G156" s="116" t="s">
        <v>1473</v>
      </c>
      <c r="H156" s="116" t="s">
        <v>1474</v>
      </c>
      <c r="I156" s="116" t="s">
        <v>1475</v>
      </c>
      <c r="J156" s="116" t="s">
        <v>1476</v>
      </c>
      <c r="K156" s="116" t="s">
        <v>1477</v>
      </c>
      <c r="L156" s="116" t="s">
        <v>1478</v>
      </c>
      <c r="M156" s="116" t="s">
        <v>1479</v>
      </c>
      <c r="N156" s="116" t="s">
        <v>1480</v>
      </c>
      <c r="O156" s="116" t="s">
        <v>1481</v>
      </c>
      <c r="P156" s="116" t="s">
        <v>1482</v>
      </c>
      <c r="Q156" s="116" t="s">
        <v>1483</v>
      </c>
      <c r="R156" s="7"/>
      <c r="S156" s="4"/>
    </row>
    <row r="157" spans="1:19" hidden="1" outlineLevel="1">
      <c r="A157" s="4"/>
      <c r="B157" s="4"/>
      <c r="C157" s="7"/>
      <c r="D157" s="705"/>
      <c r="E157" s="16" t="s">
        <v>1484</v>
      </c>
      <c r="F157" s="312">
        <f t="shared" ref="F157:Q157" si="18">F173</f>
        <v>16824.16</v>
      </c>
      <c r="G157" s="312">
        <f t="shared" si="18"/>
        <v>0</v>
      </c>
      <c r="H157" s="312">
        <f t="shared" si="18"/>
        <v>0</v>
      </c>
      <c r="I157" s="312">
        <f t="shared" si="18"/>
        <v>0</v>
      </c>
      <c r="J157" s="312">
        <f t="shared" si="18"/>
        <v>0</v>
      </c>
      <c r="K157" s="312">
        <f t="shared" si="18"/>
        <v>0</v>
      </c>
      <c r="L157" s="312">
        <f t="shared" si="18"/>
        <v>0</v>
      </c>
      <c r="M157" s="312">
        <f t="shared" si="18"/>
        <v>0</v>
      </c>
      <c r="N157" s="312">
        <f t="shared" si="18"/>
        <v>0</v>
      </c>
      <c r="O157" s="312">
        <f t="shared" si="18"/>
        <v>0</v>
      </c>
      <c r="P157" s="312">
        <f t="shared" si="18"/>
        <v>175</v>
      </c>
      <c r="Q157" s="312">
        <f t="shared" si="18"/>
        <v>16999.16</v>
      </c>
      <c r="R157" s="7"/>
      <c r="S157" s="4"/>
    </row>
    <row r="158" spans="1:19" hidden="1" outlineLevel="1">
      <c r="A158" s="4"/>
      <c r="B158" s="4"/>
      <c r="C158" s="7"/>
      <c r="D158" s="705"/>
      <c r="E158" s="16" t="s">
        <v>199</v>
      </c>
      <c r="F158" s="312">
        <f t="shared" ref="F158:Q158" si="19">F189</f>
        <v>19924.07</v>
      </c>
      <c r="G158" s="312">
        <f t="shared" si="19"/>
        <v>0</v>
      </c>
      <c r="H158" s="312">
        <f t="shared" si="19"/>
        <v>0</v>
      </c>
      <c r="I158" s="312">
        <f t="shared" si="19"/>
        <v>0</v>
      </c>
      <c r="J158" s="312">
        <f t="shared" si="19"/>
        <v>0</v>
      </c>
      <c r="K158" s="312">
        <f t="shared" si="19"/>
        <v>0</v>
      </c>
      <c r="L158" s="312">
        <f t="shared" si="19"/>
        <v>0</v>
      </c>
      <c r="M158" s="312">
        <f t="shared" si="19"/>
        <v>0</v>
      </c>
      <c r="N158" s="312">
        <f t="shared" si="19"/>
        <v>20</v>
      </c>
      <c r="O158" s="312">
        <f t="shared" si="19"/>
        <v>0</v>
      </c>
      <c r="P158" s="312">
        <f t="shared" si="19"/>
        <v>175</v>
      </c>
      <c r="Q158" s="312">
        <f t="shared" si="19"/>
        <v>20119.07</v>
      </c>
      <c r="R158" s="7"/>
      <c r="S158" s="4"/>
    </row>
    <row r="159" spans="1:19" hidden="1" outlineLevel="1">
      <c r="A159" s="4"/>
      <c r="B159" s="4"/>
      <c r="C159" s="7"/>
      <c r="D159" s="706"/>
      <c r="E159" s="16" t="s">
        <v>1485</v>
      </c>
      <c r="F159" s="312">
        <f>F158-F157</f>
        <v>3099.91</v>
      </c>
      <c r="G159" s="312">
        <f t="shared" ref="G159:Q159" si="20">G158-G157</f>
        <v>0</v>
      </c>
      <c r="H159" s="312">
        <f t="shared" si="20"/>
        <v>0</v>
      </c>
      <c r="I159" s="312">
        <f t="shared" si="20"/>
        <v>0</v>
      </c>
      <c r="J159" s="312">
        <f t="shared" si="20"/>
        <v>0</v>
      </c>
      <c r="K159" s="312">
        <f t="shared" si="20"/>
        <v>0</v>
      </c>
      <c r="L159" s="312">
        <f t="shared" si="20"/>
        <v>0</v>
      </c>
      <c r="M159" s="312">
        <f t="shared" si="20"/>
        <v>0</v>
      </c>
      <c r="N159" s="312">
        <f t="shared" si="20"/>
        <v>20</v>
      </c>
      <c r="O159" s="312">
        <f t="shared" si="20"/>
        <v>0</v>
      </c>
      <c r="P159" s="312">
        <f t="shared" si="20"/>
        <v>0</v>
      </c>
      <c r="Q159" s="312">
        <f t="shared" si="20"/>
        <v>3119.91</v>
      </c>
      <c r="R159" s="7"/>
      <c r="S159" s="4"/>
    </row>
    <row r="160" spans="1:19" hidden="1" outlineLevel="1">
      <c r="A160" s="4"/>
      <c r="B160" s="4"/>
      <c r="C160" s="7"/>
      <c r="D160" s="7"/>
      <c r="E160" s="7"/>
      <c r="F160" s="7"/>
      <c r="G160" s="7"/>
      <c r="H160" s="7"/>
      <c r="I160" s="7"/>
      <c r="J160" s="7"/>
      <c r="K160" s="7"/>
      <c r="L160" s="7"/>
      <c r="M160" s="7"/>
      <c r="N160" s="7"/>
      <c r="O160" s="7"/>
      <c r="P160" s="7"/>
      <c r="Q160" s="7"/>
      <c r="R160" s="7"/>
      <c r="S160" s="4"/>
    </row>
    <row r="161" spans="1:19" collapsed="1">
      <c r="A161" s="4"/>
      <c r="B161" s="4"/>
      <c r="C161" s="4"/>
      <c r="D161" s="4"/>
      <c r="E161" s="4"/>
      <c r="F161" s="4"/>
      <c r="G161" s="4"/>
      <c r="H161" s="4"/>
      <c r="I161" s="4"/>
      <c r="J161" s="4"/>
      <c r="K161" s="4"/>
      <c r="L161" s="4"/>
      <c r="M161" s="4"/>
      <c r="N161" s="4"/>
      <c r="O161" s="4"/>
      <c r="P161" s="4"/>
      <c r="Q161" s="4"/>
      <c r="R161" s="4"/>
      <c r="S161" s="4"/>
    </row>
    <row r="162" spans="1:19" ht="18.600000000000001">
      <c r="A162" s="102"/>
      <c r="B162" s="102"/>
      <c r="C162" s="562" t="s">
        <v>1498</v>
      </c>
      <c r="D162" s="102"/>
      <c r="E162" s="102"/>
      <c r="F162" s="102"/>
      <c r="G162" s="102"/>
      <c r="H162" s="102"/>
      <c r="I162" s="102"/>
      <c r="J162" s="102"/>
      <c r="K162" s="102"/>
      <c r="L162" s="102"/>
      <c r="M162" s="102"/>
      <c r="N162" s="102"/>
      <c r="O162" s="102"/>
      <c r="P162" s="102"/>
      <c r="Q162" s="102"/>
      <c r="R162" s="102"/>
      <c r="S162" s="4"/>
    </row>
    <row r="163" spans="1:19" hidden="1" outlineLevel="1">
      <c r="A163" s="4"/>
      <c r="B163" s="4"/>
      <c r="C163" s="4"/>
      <c r="D163" s="4"/>
      <c r="E163" s="4"/>
      <c r="F163" s="4"/>
      <c r="G163" s="4"/>
      <c r="H163" s="4"/>
      <c r="I163" s="4"/>
      <c r="J163" s="4"/>
      <c r="K163" s="4"/>
      <c r="L163" s="4"/>
      <c r="M163" s="4"/>
      <c r="N163" s="4"/>
      <c r="O163" s="4"/>
      <c r="P163" s="4"/>
      <c r="Q163" s="4"/>
      <c r="R163" s="4"/>
      <c r="S163" s="4"/>
    </row>
    <row r="164" spans="1:19" hidden="1" outlineLevel="1">
      <c r="A164" s="4"/>
      <c r="B164" s="4"/>
      <c r="C164" s="7"/>
      <c r="D164" s="7"/>
      <c r="E164" s="7"/>
      <c r="F164" s="7"/>
      <c r="G164" s="7"/>
      <c r="H164" s="7"/>
      <c r="I164" s="7"/>
      <c r="J164" s="7"/>
      <c r="K164" s="7"/>
      <c r="L164" s="7"/>
      <c r="M164" s="7"/>
      <c r="N164" s="7"/>
      <c r="O164" s="7"/>
      <c r="P164" s="7"/>
      <c r="Q164" s="7"/>
      <c r="R164" s="7"/>
      <c r="S164" s="4"/>
    </row>
    <row r="165" spans="1:19" ht="29.1" hidden="1" outlineLevel="1">
      <c r="A165" s="4"/>
      <c r="B165" s="4"/>
      <c r="C165" s="7"/>
      <c r="D165" s="116" t="s">
        <v>1361</v>
      </c>
      <c r="E165" s="116" t="s">
        <v>1487</v>
      </c>
      <c r="F165" s="116" t="s">
        <v>1472</v>
      </c>
      <c r="G165" s="116" t="s">
        <v>1473</v>
      </c>
      <c r="H165" s="116" t="s">
        <v>1474</v>
      </c>
      <c r="I165" s="116" t="s">
        <v>1475</v>
      </c>
      <c r="J165" s="116" t="s">
        <v>1476</v>
      </c>
      <c r="K165" s="116" t="s">
        <v>1477</v>
      </c>
      <c r="L165" s="116" t="s">
        <v>1478</v>
      </c>
      <c r="M165" s="116" t="s">
        <v>1479</v>
      </c>
      <c r="N165" s="116" t="s">
        <v>1480</v>
      </c>
      <c r="O165" s="116" t="s">
        <v>1481</v>
      </c>
      <c r="P165" s="116" t="s">
        <v>1482</v>
      </c>
      <c r="Q165" s="116" t="s">
        <v>1483</v>
      </c>
      <c r="R165" s="148"/>
      <c r="S165" s="4"/>
    </row>
    <row r="166" spans="1:19" hidden="1" outlineLevel="1">
      <c r="A166" s="4"/>
      <c r="B166" s="4"/>
      <c r="C166" s="7"/>
      <c r="D166" s="116" t="s">
        <v>1167</v>
      </c>
      <c r="E166" s="118" t="s">
        <v>1181</v>
      </c>
      <c r="F166" s="110">
        <v>135</v>
      </c>
      <c r="G166" s="110">
        <v>0</v>
      </c>
      <c r="H166" s="110">
        <v>0</v>
      </c>
      <c r="I166" s="110">
        <v>0</v>
      </c>
      <c r="J166" s="110">
        <v>0</v>
      </c>
      <c r="K166" s="110">
        <v>0</v>
      </c>
      <c r="L166" s="110">
        <v>0</v>
      </c>
      <c r="M166" s="110">
        <v>0</v>
      </c>
      <c r="N166" s="110">
        <v>0</v>
      </c>
      <c r="O166" s="110">
        <v>0</v>
      </c>
      <c r="P166" s="110">
        <v>25</v>
      </c>
      <c r="Q166" s="110">
        <f>SUM(Table4798485[[#This Row],[Consumption (USD)]:[Vendor Support (USD)]])</f>
        <v>160</v>
      </c>
      <c r="R166" s="157"/>
      <c r="S166" s="4"/>
    </row>
    <row r="167" spans="1:19" hidden="1" outlineLevel="1">
      <c r="A167" s="4"/>
      <c r="B167" s="4"/>
      <c r="C167" s="7"/>
      <c r="D167" s="116" t="s">
        <v>1168</v>
      </c>
      <c r="E167" s="118" t="s">
        <v>1182</v>
      </c>
      <c r="F167" s="110">
        <v>100</v>
      </c>
      <c r="G167" s="110">
        <v>0</v>
      </c>
      <c r="H167" s="110">
        <v>0</v>
      </c>
      <c r="I167" s="110">
        <v>0</v>
      </c>
      <c r="J167" s="110">
        <v>0</v>
      </c>
      <c r="K167" s="115">
        <v>0</v>
      </c>
      <c r="L167" s="115">
        <v>0</v>
      </c>
      <c r="M167" s="115">
        <v>0</v>
      </c>
      <c r="N167" s="115">
        <v>0</v>
      </c>
      <c r="O167" s="115">
        <v>0</v>
      </c>
      <c r="P167" s="115">
        <v>25</v>
      </c>
      <c r="Q167" s="110">
        <f>SUM(Table4798485[[#This Row],[Consumption (USD)]:[Vendor Support (USD)]])</f>
        <v>125</v>
      </c>
      <c r="R167" s="157"/>
      <c r="S167" s="4"/>
    </row>
    <row r="168" spans="1:19" hidden="1" outlineLevel="1">
      <c r="A168" s="4"/>
      <c r="B168" s="4"/>
      <c r="C168" s="7"/>
      <c r="D168" s="116" t="s">
        <v>975</v>
      </c>
      <c r="E168" s="118" t="s">
        <v>1183</v>
      </c>
      <c r="F168" s="115">
        <v>2592.5</v>
      </c>
      <c r="G168" s="110">
        <v>0</v>
      </c>
      <c r="H168" s="110">
        <v>0</v>
      </c>
      <c r="I168" s="110">
        <v>0</v>
      </c>
      <c r="J168" s="110">
        <v>0</v>
      </c>
      <c r="K168" s="115">
        <v>0</v>
      </c>
      <c r="L168" s="115">
        <v>0</v>
      </c>
      <c r="M168" s="115">
        <v>0</v>
      </c>
      <c r="N168" s="115">
        <v>0</v>
      </c>
      <c r="O168" s="115">
        <v>0</v>
      </c>
      <c r="P168" s="115">
        <v>25</v>
      </c>
      <c r="Q168" s="110">
        <f>SUM(Table4798485[[#This Row],[Consumption (USD)]:[Vendor Support (USD)]])</f>
        <v>2617.5</v>
      </c>
      <c r="R168" s="157"/>
      <c r="S168" s="4"/>
    </row>
    <row r="169" spans="1:19" hidden="1" outlineLevel="1">
      <c r="A169" s="4"/>
      <c r="B169" s="4"/>
      <c r="C169" s="7"/>
      <c r="D169" s="116" t="s">
        <v>981</v>
      </c>
      <c r="E169" s="118" t="s">
        <v>1184</v>
      </c>
      <c r="F169" s="115">
        <v>2708.3</v>
      </c>
      <c r="G169" s="110">
        <v>0</v>
      </c>
      <c r="H169" s="110">
        <v>0</v>
      </c>
      <c r="I169" s="110">
        <v>0</v>
      </c>
      <c r="J169" s="110">
        <v>0</v>
      </c>
      <c r="K169" s="115">
        <v>0</v>
      </c>
      <c r="L169" s="115">
        <v>0</v>
      </c>
      <c r="M169" s="115">
        <v>0</v>
      </c>
      <c r="N169" s="115">
        <v>0</v>
      </c>
      <c r="O169" s="115">
        <v>0</v>
      </c>
      <c r="P169" s="115">
        <v>25</v>
      </c>
      <c r="Q169" s="110">
        <f>SUM(Table4798485[[#This Row],[Consumption (USD)]:[Vendor Support (USD)]])</f>
        <v>2733.3</v>
      </c>
      <c r="R169" s="157"/>
      <c r="S169" s="4"/>
    </row>
    <row r="170" spans="1:19" hidden="1" outlineLevel="1">
      <c r="A170" s="4"/>
      <c r="B170" s="4"/>
      <c r="C170" s="7"/>
      <c r="D170" s="116" t="s">
        <v>979</v>
      </c>
      <c r="E170" s="118" t="s">
        <v>1184</v>
      </c>
      <c r="F170" s="115">
        <v>166.08</v>
      </c>
      <c r="G170" s="110">
        <v>0</v>
      </c>
      <c r="H170" s="110">
        <v>0</v>
      </c>
      <c r="I170" s="110">
        <v>0</v>
      </c>
      <c r="J170" s="110">
        <v>0</v>
      </c>
      <c r="K170" s="115">
        <v>0</v>
      </c>
      <c r="L170" s="115">
        <v>0</v>
      </c>
      <c r="M170" s="115">
        <v>0</v>
      </c>
      <c r="N170" s="115">
        <v>0</v>
      </c>
      <c r="O170" s="115">
        <v>0</v>
      </c>
      <c r="P170" s="115">
        <v>25</v>
      </c>
      <c r="Q170" s="110">
        <f>SUM(Table4798485[[#This Row],[Consumption (USD)]:[Vendor Support (USD)]])</f>
        <v>191.08</v>
      </c>
      <c r="R170" s="157"/>
      <c r="S170" s="4"/>
    </row>
    <row r="171" spans="1:19" hidden="1" outlineLevel="1">
      <c r="A171" s="4"/>
      <c r="B171" s="4"/>
      <c r="C171" s="7"/>
      <c r="D171" s="116" t="s">
        <v>980</v>
      </c>
      <c r="E171" s="118" t="s">
        <v>1185</v>
      </c>
      <c r="F171" s="115">
        <v>10118.530000000001</v>
      </c>
      <c r="G171" s="110">
        <v>0</v>
      </c>
      <c r="H171" s="110">
        <v>0</v>
      </c>
      <c r="I171" s="110">
        <v>0</v>
      </c>
      <c r="J171" s="110">
        <v>0</v>
      </c>
      <c r="K171" s="115">
        <v>0</v>
      </c>
      <c r="L171" s="115">
        <v>0</v>
      </c>
      <c r="M171" s="115">
        <v>0</v>
      </c>
      <c r="N171" s="115">
        <v>0</v>
      </c>
      <c r="O171" s="115">
        <v>0</v>
      </c>
      <c r="P171" s="115">
        <v>25</v>
      </c>
      <c r="Q171" s="110">
        <f>SUM(Table4798485[[#This Row],[Consumption (USD)]:[Vendor Support (USD)]])</f>
        <v>10143.530000000001</v>
      </c>
      <c r="R171" s="157"/>
      <c r="S171" s="4"/>
    </row>
    <row r="172" spans="1:19" hidden="1" outlineLevel="1">
      <c r="A172" s="4"/>
      <c r="B172" s="4"/>
      <c r="C172" s="7"/>
      <c r="D172" s="116" t="s">
        <v>982</v>
      </c>
      <c r="E172" s="118" t="s">
        <v>1488</v>
      </c>
      <c r="F172" s="115">
        <v>1003.75</v>
      </c>
      <c r="G172" s="110">
        <v>0</v>
      </c>
      <c r="H172" s="110">
        <v>0</v>
      </c>
      <c r="I172" s="110">
        <v>0</v>
      </c>
      <c r="J172" s="110">
        <v>0</v>
      </c>
      <c r="K172" s="115">
        <v>0</v>
      </c>
      <c r="L172" s="115">
        <v>0</v>
      </c>
      <c r="M172" s="115">
        <v>0</v>
      </c>
      <c r="N172" s="115">
        <v>0</v>
      </c>
      <c r="O172" s="115">
        <v>0</v>
      </c>
      <c r="P172" s="115">
        <v>25</v>
      </c>
      <c r="Q172" s="110">
        <f>SUM(Table4798485[[#This Row],[Consumption (USD)]:[Vendor Support (USD)]])</f>
        <v>1028.75</v>
      </c>
      <c r="R172" s="157"/>
      <c r="S172" s="4"/>
    </row>
    <row r="173" spans="1:19" hidden="1" outlineLevel="1">
      <c r="A173" s="4"/>
      <c r="B173" s="4"/>
      <c r="C173" s="7"/>
      <c r="D173" s="118"/>
      <c r="E173" s="118"/>
      <c r="F173" s="115">
        <f t="shared" ref="F173:P173" si="21">SUM(F166:F172)</f>
        <v>16824.16</v>
      </c>
      <c r="G173" s="115">
        <f t="shared" si="21"/>
        <v>0</v>
      </c>
      <c r="H173" s="115">
        <f t="shared" si="21"/>
        <v>0</v>
      </c>
      <c r="I173" s="115">
        <f t="shared" si="21"/>
        <v>0</v>
      </c>
      <c r="J173" s="115">
        <f t="shared" si="21"/>
        <v>0</v>
      </c>
      <c r="K173" s="115">
        <f t="shared" si="21"/>
        <v>0</v>
      </c>
      <c r="L173" s="115">
        <f t="shared" si="21"/>
        <v>0</v>
      </c>
      <c r="M173" s="115">
        <f t="shared" si="21"/>
        <v>0</v>
      </c>
      <c r="N173" s="115">
        <f t="shared" si="21"/>
        <v>0</v>
      </c>
      <c r="O173" s="115">
        <f t="shared" si="21"/>
        <v>0</v>
      </c>
      <c r="P173" s="115">
        <f t="shared" si="21"/>
        <v>175</v>
      </c>
      <c r="Q173" s="110">
        <f>SUM(Table4798485[[#This Row],[Consumption (USD)]:[Vendor Support (USD)]])</f>
        <v>16999.16</v>
      </c>
      <c r="R173" s="158"/>
      <c r="S173" s="4"/>
    </row>
    <row r="174" spans="1:19" hidden="1" outlineLevel="1">
      <c r="A174" s="4"/>
      <c r="B174" s="4"/>
      <c r="C174" s="7"/>
      <c r="D174" s="146"/>
      <c r="E174" s="146"/>
      <c r="F174" s="146"/>
      <c r="G174" s="146"/>
      <c r="H174" s="146"/>
      <c r="I174" s="147"/>
      <c r="J174" s="148"/>
      <c r="K174" s="148"/>
      <c r="L174" s="148"/>
      <c r="M174" s="148"/>
      <c r="N174" s="149"/>
      <c r="O174" s="148"/>
      <c r="P174" s="149"/>
      <c r="Q174" s="150"/>
      <c r="R174" s="150"/>
      <c r="S174" s="155"/>
    </row>
    <row r="175" spans="1:19" collapsed="1">
      <c r="A175" s="4"/>
      <c r="B175" s="4"/>
      <c r="C175" s="4"/>
      <c r="D175" s="151"/>
      <c r="E175" s="151"/>
      <c r="F175" s="151"/>
      <c r="G175" s="151"/>
      <c r="H175" s="151"/>
      <c r="I175" s="152"/>
      <c r="J175" s="153"/>
      <c r="K175" s="153"/>
      <c r="L175" s="153"/>
      <c r="M175" s="153"/>
      <c r="N175" s="154"/>
      <c r="O175" s="153"/>
      <c r="P175" s="154"/>
      <c r="Q175" s="155"/>
      <c r="R175" s="155"/>
      <c r="S175" s="155"/>
    </row>
    <row r="176" spans="1:19" ht="18.600000000000001">
      <c r="A176" s="102"/>
      <c r="B176" s="102"/>
      <c r="C176" s="562" t="s">
        <v>1457</v>
      </c>
      <c r="D176" s="102"/>
      <c r="E176" s="102"/>
      <c r="F176" s="102"/>
      <c r="G176" s="102"/>
      <c r="H176" s="102"/>
      <c r="I176" s="102"/>
      <c r="J176" s="102"/>
      <c r="K176" s="102"/>
      <c r="L176" s="102"/>
      <c r="M176" s="102"/>
      <c r="N176" s="102"/>
      <c r="O176" s="102"/>
      <c r="P176" s="102"/>
      <c r="Q176" s="102"/>
      <c r="R176" s="102"/>
      <c r="S176" s="4"/>
    </row>
    <row r="177" spans="1:19" hidden="1" outlineLevel="1">
      <c r="A177" s="4"/>
      <c r="B177" s="4"/>
      <c r="C177" s="4"/>
      <c r="D177" s="4"/>
      <c r="E177" s="4"/>
      <c r="F177" s="4"/>
      <c r="G177" s="4"/>
      <c r="H177" s="4"/>
      <c r="I177" s="4"/>
      <c r="J177" s="4"/>
      <c r="K177" s="4"/>
      <c r="L177" s="4"/>
      <c r="M177" s="4"/>
      <c r="N177" s="4"/>
      <c r="O177" s="4"/>
      <c r="P177" s="4"/>
      <c r="Q177" s="4"/>
      <c r="R177" s="4"/>
      <c r="S177" s="4"/>
    </row>
    <row r="178" spans="1:19" hidden="1" outlineLevel="1">
      <c r="A178" s="4"/>
      <c r="B178" s="4"/>
      <c r="C178" s="7"/>
      <c r="D178" s="7"/>
      <c r="E178" s="7"/>
      <c r="F178" s="7"/>
      <c r="G178" s="7"/>
      <c r="H178" s="7"/>
      <c r="I178" s="7"/>
      <c r="J178" s="7"/>
      <c r="K178" s="7"/>
      <c r="L178" s="7"/>
      <c r="M178" s="7"/>
      <c r="N178" s="7"/>
      <c r="O178" s="7"/>
      <c r="P178" s="7"/>
      <c r="Q178" s="7"/>
      <c r="R178" s="7"/>
      <c r="S178" s="4"/>
    </row>
    <row r="179" spans="1:19" ht="29.1" hidden="1" outlineLevel="1">
      <c r="A179" s="4"/>
      <c r="B179" s="4"/>
      <c r="C179" s="7"/>
      <c r="D179" s="116" t="s">
        <v>1361</v>
      </c>
      <c r="E179" s="116" t="s">
        <v>1487</v>
      </c>
      <c r="F179" s="116" t="s">
        <v>1472</v>
      </c>
      <c r="G179" s="116" t="s">
        <v>1473</v>
      </c>
      <c r="H179" s="116" t="s">
        <v>1474</v>
      </c>
      <c r="I179" s="116" t="s">
        <v>1475</v>
      </c>
      <c r="J179" s="116" t="s">
        <v>1476</v>
      </c>
      <c r="K179" s="116" t="s">
        <v>1477</v>
      </c>
      <c r="L179" s="116" t="s">
        <v>1478</v>
      </c>
      <c r="M179" s="116" t="s">
        <v>1479</v>
      </c>
      <c r="N179" s="116" t="s">
        <v>1480</v>
      </c>
      <c r="O179" s="116" t="s">
        <v>1481</v>
      </c>
      <c r="P179" s="116" t="s">
        <v>1482</v>
      </c>
      <c r="Q179" s="116" t="s">
        <v>1483</v>
      </c>
      <c r="R179" s="148"/>
      <c r="S179" s="4"/>
    </row>
    <row r="180" spans="1:19" hidden="1" outlineLevel="1">
      <c r="A180" s="4"/>
      <c r="B180" s="4"/>
      <c r="C180" s="7"/>
      <c r="D180" s="116" t="s">
        <v>1167</v>
      </c>
      <c r="E180" s="116" t="s">
        <v>1181</v>
      </c>
      <c r="F180" s="110">
        <v>135</v>
      </c>
      <c r="G180" s="110">
        <v>0</v>
      </c>
      <c r="H180" s="110">
        <v>0</v>
      </c>
      <c r="I180" s="110">
        <v>0</v>
      </c>
      <c r="J180" s="110">
        <v>0</v>
      </c>
      <c r="K180" s="110">
        <v>0</v>
      </c>
      <c r="L180" s="110">
        <v>0</v>
      </c>
      <c r="M180" s="110">
        <v>0</v>
      </c>
      <c r="N180" s="110">
        <v>0</v>
      </c>
      <c r="O180" s="110">
        <v>0</v>
      </c>
      <c r="P180" s="110">
        <v>25</v>
      </c>
      <c r="Q180" s="110">
        <f>SUM(F180:P180)</f>
        <v>160</v>
      </c>
      <c r="R180" s="157"/>
      <c r="S180" s="4"/>
    </row>
    <row r="181" spans="1:19" hidden="1" outlineLevel="1">
      <c r="A181" s="4"/>
      <c r="B181" s="4"/>
      <c r="C181" s="7"/>
      <c r="D181" s="116" t="s">
        <v>1168</v>
      </c>
      <c r="E181" s="116" t="s">
        <v>1182</v>
      </c>
      <c r="F181" s="110">
        <v>100</v>
      </c>
      <c r="G181" s="110">
        <v>0</v>
      </c>
      <c r="H181" s="110">
        <v>0</v>
      </c>
      <c r="I181" s="110">
        <v>0</v>
      </c>
      <c r="J181" s="110">
        <v>0</v>
      </c>
      <c r="K181" s="110">
        <v>0</v>
      </c>
      <c r="L181" s="110">
        <v>0</v>
      </c>
      <c r="M181" s="110">
        <v>0</v>
      </c>
      <c r="N181" s="110">
        <v>0</v>
      </c>
      <c r="O181" s="110">
        <v>0</v>
      </c>
      <c r="P181" s="110">
        <v>25</v>
      </c>
      <c r="Q181" s="110">
        <f t="shared" ref="Q181:Q189" si="22">SUM(F181:P181)</f>
        <v>125</v>
      </c>
      <c r="R181" s="157"/>
      <c r="S181" s="4"/>
    </row>
    <row r="182" spans="1:19" hidden="1" outlineLevel="1">
      <c r="A182" s="4"/>
      <c r="B182" s="4"/>
      <c r="C182" s="7"/>
      <c r="D182" s="116" t="s">
        <v>978</v>
      </c>
      <c r="E182" s="116" t="s">
        <v>1184</v>
      </c>
      <c r="F182" s="110">
        <v>341.33</v>
      </c>
      <c r="G182" s="110">
        <v>0</v>
      </c>
      <c r="H182" s="110">
        <v>0</v>
      </c>
      <c r="I182" s="110">
        <v>0</v>
      </c>
      <c r="J182" s="110">
        <v>0</v>
      </c>
      <c r="K182" s="110">
        <v>0</v>
      </c>
      <c r="L182" s="110">
        <v>0</v>
      </c>
      <c r="M182" s="110">
        <v>0</v>
      </c>
      <c r="N182" s="110">
        <v>0</v>
      </c>
      <c r="O182" s="110">
        <v>0</v>
      </c>
      <c r="P182" s="110">
        <v>0</v>
      </c>
      <c r="Q182" s="110">
        <f t="shared" si="22"/>
        <v>341.33</v>
      </c>
      <c r="R182" s="157"/>
      <c r="S182" s="4"/>
    </row>
    <row r="183" spans="1:19" hidden="1" outlineLevel="1">
      <c r="A183" s="4"/>
      <c r="B183" s="4"/>
      <c r="C183" s="7"/>
      <c r="D183" s="116" t="s">
        <v>1492</v>
      </c>
      <c r="E183" s="116" t="s">
        <v>1395</v>
      </c>
      <c r="F183" s="110">
        <v>0</v>
      </c>
      <c r="G183" s="110">
        <v>0</v>
      </c>
      <c r="H183" s="110">
        <v>0</v>
      </c>
      <c r="I183" s="110">
        <v>0</v>
      </c>
      <c r="J183" s="110">
        <v>0</v>
      </c>
      <c r="K183" s="110">
        <v>0</v>
      </c>
      <c r="L183" s="110">
        <v>0</v>
      </c>
      <c r="M183" s="110">
        <v>0</v>
      </c>
      <c r="N183" s="110">
        <v>0</v>
      </c>
      <c r="O183" s="110">
        <v>0</v>
      </c>
      <c r="P183" s="110">
        <v>0</v>
      </c>
      <c r="Q183" s="110">
        <f t="shared" si="22"/>
        <v>0</v>
      </c>
      <c r="R183" s="157"/>
      <c r="S183" s="4"/>
    </row>
    <row r="184" spans="1:19" hidden="1" outlineLevel="1">
      <c r="A184" s="4"/>
      <c r="B184" s="4"/>
      <c r="C184" s="7"/>
      <c r="D184" s="116" t="s">
        <v>975</v>
      </c>
      <c r="E184" s="116" t="s">
        <v>1183</v>
      </c>
      <c r="F184" s="110">
        <f>2592.5*2</f>
        <v>5185</v>
      </c>
      <c r="G184" s="110">
        <v>0</v>
      </c>
      <c r="H184" s="110">
        <v>0</v>
      </c>
      <c r="I184" s="110">
        <v>0</v>
      </c>
      <c r="J184" s="110">
        <v>0</v>
      </c>
      <c r="K184" s="110">
        <v>0</v>
      </c>
      <c r="L184" s="110">
        <v>0</v>
      </c>
      <c r="M184" s="110">
        <v>0</v>
      </c>
      <c r="N184" s="110">
        <v>10</v>
      </c>
      <c r="O184" s="110">
        <v>0</v>
      </c>
      <c r="P184" s="110">
        <v>25</v>
      </c>
      <c r="Q184" s="110">
        <f t="shared" si="22"/>
        <v>5220</v>
      </c>
      <c r="R184" s="157"/>
      <c r="S184" s="4"/>
    </row>
    <row r="185" spans="1:19" hidden="1" outlineLevel="1">
      <c r="A185" s="4"/>
      <c r="B185" s="4"/>
      <c r="C185" s="7"/>
      <c r="D185" s="116" t="s">
        <v>981</v>
      </c>
      <c r="E185" s="116" t="s">
        <v>1184</v>
      </c>
      <c r="F185" s="110">
        <v>2708.3</v>
      </c>
      <c r="G185" s="110">
        <v>0</v>
      </c>
      <c r="H185" s="110">
        <v>0</v>
      </c>
      <c r="I185" s="110">
        <v>0</v>
      </c>
      <c r="J185" s="110">
        <v>0</v>
      </c>
      <c r="K185" s="110">
        <v>0</v>
      </c>
      <c r="L185" s="110">
        <v>0</v>
      </c>
      <c r="M185" s="110">
        <v>0</v>
      </c>
      <c r="N185" s="110">
        <v>0</v>
      </c>
      <c r="O185" s="110">
        <v>0</v>
      </c>
      <c r="P185" s="110">
        <v>25</v>
      </c>
      <c r="Q185" s="110">
        <f t="shared" si="22"/>
        <v>2733.3</v>
      </c>
      <c r="R185" s="157"/>
      <c r="S185" s="4"/>
    </row>
    <row r="186" spans="1:19" hidden="1" outlineLevel="1">
      <c r="A186" s="4"/>
      <c r="B186" s="4"/>
      <c r="C186" s="7"/>
      <c r="D186" s="116" t="s">
        <v>979</v>
      </c>
      <c r="E186" s="116" t="s">
        <v>1184</v>
      </c>
      <c r="F186" s="110">
        <f>166.08*2</f>
        <v>332.16</v>
      </c>
      <c r="G186" s="110">
        <v>0</v>
      </c>
      <c r="H186" s="110">
        <v>0</v>
      </c>
      <c r="I186" s="110">
        <v>0</v>
      </c>
      <c r="J186" s="110">
        <v>0</v>
      </c>
      <c r="K186" s="110">
        <v>0</v>
      </c>
      <c r="L186" s="110">
        <v>0</v>
      </c>
      <c r="M186" s="110">
        <v>0</v>
      </c>
      <c r="N186" s="110">
        <v>0</v>
      </c>
      <c r="O186" s="110">
        <v>0</v>
      </c>
      <c r="P186" s="110">
        <v>25</v>
      </c>
      <c r="Q186" s="110">
        <f t="shared" si="22"/>
        <v>357.16</v>
      </c>
      <c r="R186" s="157"/>
      <c r="S186" s="4"/>
    </row>
    <row r="187" spans="1:19" hidden="1" outlineLevel="1">
      <c r="A187" s="4"/>
      <c r="B187" s="4"/>
      <c r="C187" s="7"/>
      <c r="D187" s="116" t="s">
        <v>980</v>
      </c>
      <c r="E187" s="116" t="s">
        <v>1185</v>
      </c>
      <c r="F187" s="110">
        <v>10118.530000000001</v>
      </c>
      <c r="G187" s="110">
        <v>0</v>
      </c>
      <c r="H187" s="110">
        <v>0</v>
      </c>
      <c r="I187" s="110">
        <v>0</v>
      </c>
      <c r="J187" s="110">
        <v>0</v>
      </c>
      <c r="K187" s="110">
        <v>0</v>
      </c>
      <c r="L187" s="110">
        <v>0</v>
      </c>
      <c r="M187" s="110">
        <v>0</v>
      </c>
      <c r="N187" s="110">
        <v>0</v>
      </c>
      <c r="O187" s="110">
        <v>0</v>
      </c>
      <c r="P187" s="110">
        <v>25</v>
      </c>
      <c r="Q187" s="110">
        <f t="shared" si="22"/>
        <v>10143.530000000001</v>
      </c>
      <c r="R187" s="157"/>
      <c r="S187" s="4"/>
    </row>
    <row r="188" spans="1:19" hidden="1" outlineLevel="1">
      <c r="A188" s="4"/>
      <c r="B188" s="4"/>
      <c r="C188" s="7"/>
      <c r="D188" s="116" t="s">
        <v>982</v>
      </c>
      <c r="E188" s="116" t="s">
        <v>1488</v>
      </c>
      <c r="F188" s="110">
        <v>1003.75</v>
      </c>
      <c r="G188" s="110">
        <v>0</v>
      </c>
      <c r="H188" s="110">
        <v>0</v>
      </c>
      <c r="I188" s="110">
        <v>0</v>
      </c>
      <c r="J188" s="110">
        <v>0</v>
      </c>
      <c r="K188" s="110">
        <v>0</v>
      </c>
      <c r="L188" s="110">
        <v>0</v>
      </c>
      <c r="M188" s="110">
        <v>0</v>
      </c>
      <c r="N188" s="110">
        <v>10</v>
      </c>
      <c r="O188" s="110">
        <v>0</v>
      </c>
      <c r="P188" s="110">
        <v>25</v>
      </c>
      <c r="Q188" s="110">
        <f t="shared" si="22"/>
        <v>1038.75</v>
      </c>
      <c r="R188" s="157"/>
      <c r="S188" s="4"/>
    </row>
    <row r="189" spans="1:19" hidden="1" outlineLevel="1">
      <c r="A189" s="4"/>
      <c r="B189" s="4"/>
      <c r="C189" s="7"/>
      <c r="D189" s="116"/>
      <c r="E189" s="116"/>
      <c r="F189" s="110">
        <f t="shared" ref="F189:P189" si="23">SUM(F180:F188)</f>
        <v>19924.07</v>
      </c>
      <c r="G189" s="110">
        <f t="shared" si="23"/>
        <v>0</v>
      </c>
      <c r="H189" s="110">
        <f t="shared" si="23"/>
        <v>0</v>
      </c>
      <c r="I189" s="110">
        <f t="shared" si="23"/>
        <v>0</v>
      </c>
      <c r="J189" s="110">
        <f t="shared" si="23"/>
        <v>0</v>
      </c>
      <c r="K189" s="110">
        <f t="shared" si="23"/>
        <v>0</v>
      </c>
      <c r="L189" s="110">
        <f t="shared" si="23"/>
        <v>0</v>
      </c>
      <c r="M189" s="110">
        <f t="shared" si="23"/>
        <v>0</v>
      </c>
      <c r="N189" s="110">
        <f t="shared" si="23"/>
        <v>20</v>
      </c>
      <c r="O189" s="110">
        <f t="shared" si="23"/>
        <v>0</v>
      </c>
      <c r="P189" s="110">
        <f t="shared" si="23"/>
        <v>175</v>
      </c>
      <c r="Q189" s="110">
        <f t="shared" si="22"/>
        <v>20119.07</v>
      </c>
      <c r="R189" s="158"/>
      <c r="S189" s="4"/>
    </row>
    <row r="190" spans="1:19" hidden="1" outlineLevel="1">
      <c r="A190" s="4"/>
      <c r="B190" s="4"/>
      <c r="C190" s="7"/>
      <c r="D190" s="7"/>
      <c r="E190" s="7"/>
      <c r="F190" s="7"/>
      <c r="G190" s="7"/>
      <c r="H190" s="7"/>
      <c r="I190" s="7"/>
      <c r="J190" s="7"/>
      <c r="K190" s="7"/>
      <c r="L190" s="7"/>
      <c r="M190" s="7"/>
      <c r="N190" s="7"/>
      <c r="O190" s="7"/>
      <c r="P190" s="7"/>
      <c r="Q190" s="7"/>
      <c r="R190" s="7"/>
      <c r="S190" s="4"/>
    </row>
    <row r="191" spans="1:19" collapsed="1">
      <c r="A191" s="4"/>
      <c r="B191" s="4"/>
      <c r="C191" s="4"/>
      <c r="D191" s="4"/>
      <c r="E191" s="4"/>
      <c r="F191" s="4"/>
      <c r="G191" s="4"/>
      <c r="H191" s="4"/>
      <c r="I191" s="4"/>
      <c r="J191" s="4"/>
      <c r="K191" s="4"/>
      <c r="L191" s="4"/>
      <c r="M191" s="4"/>
      <c r="N191" s="4"/>
      <c r="O191" s="4"/>
      <c r="P191" s="4"/>
      <c r="Q191" s="4"/>
      <c r="R191" s="4"/>
      <c r="S191" s="4"/>
    </row>
    <row r="192" spans="1:19" ht="18.600000000000001">
      <c r="A192" s="4"/>
      <c r="B192" s="4"/>
      <c r="C192" s="102" t="s">
        <v>1499</v>
      </c>
      <c r="D192" s="102"/>
      <c r="E192" s="102"/>
      <c r="F192" s="102"/>
      <c r="G192" s="102"/>
      <c r="H192" s="102"/>
      <c r="I192" s="102"/>
      <c r="J192" s="102"/>
      <c r="K192" s="102"/>
      <c r="L192" s="102"/>
      <c r="M192" s="102"/>
      <c r="N192" s="102"/>
      <c r="O192" s="102"/>
      <c r="P192" s="102"/>
      <c r="Q192" s="102"/>
      <c r="R192" s="102"/>
      <c r="S192" s="4"/>
    </row>
    <row r="193" spans="1:19" hidden="1" outlineLevel="1">
      <c r="A193" s="4"/>
      <c r="B193" s="4"/>
      <c r="C193" s="4"/>
      <c r="D193" s="4"/>
      <c r="E193" s="4"/>
      <c r="F193" s="4"/>
      <c r="G193" s="4"/>
      <c r="H193" s="4"/>
      <c r="I193" s="4"/>
      <c r="J193" s="4"/>
      <c r="K193" s="4"/>
      <c r="L193" s="4"/>
      <c r="M193" s="4"/>
      <c r="N193" s="4"/>
      <c r="O193" s="4"/>
      <c r="P193" s="4"/>
      <c r="Q193" s="4"/>
      <c r="R193" s="4"/>
      <c r="S193" s="4"/>
    </row>
    <row r="194" spans="1:19" hidden="1" outlineLevel="1">
      <c r="A194" s="4"/>
      <c r="B194" s="4"/>
      <c r="C194" s="7"/>
      <c r="D194" s="7"/>
      <c r="E194" s="7"/>
      <c r="F194" s="7"/>
      <c r="G194" s="7"/>
      <c r="H194" s="7"/>
      <c r="I194" s="7"/>
      <c r="J194" s="7"/>
      <c r="K194" s="7"/>
      <c r="L194" s="7"/>
      <c r="M194" s="7"/>
      <c r="N194" s="7"/>
      <c r="O194" s="7"/>
      <c r="P194" s="7"/>
      <c r="Q194" s="7"/>
      <c r="R194" s="7"/>
      <c r="S194" s="4"/>
    </row>
    <row r="195" spans="1:19" hidden="1" outlineLevel="1">
      <c r="A195" s="4"/>
      <c r="B195" s="4"/>
      <c r="C195" s="7"/>
      <c r="D195" s="124" t="s">
        <v>1469</v>
      </c>
      <c r="E195" s="7"/>
      <c r="F195" s="7"/>
      <c r="G195" s="7"/>
      <c r="H195" s="7"/>
      <c r="I195" s="7"/>
      <c r="J195" s="7"/>
      <c r="K195" s="7"/>
      <c r="L195" s="7"/>
      <c r="M195" s="7"/>
      <c r="N195" s="7"/>
      <c r="O195" s="7"/>
      <c r="P195" s="7"/>
      <c r="Q195" s="7"/>
      <c r="R195" s="7"/>
      <c r="S195" s="4"/>
    </row>
    <row r="196" spans="1:19" hidden="1" outlineLevel="1">
      <c r="A196" s="4"/>
      <c r="B196" s="4"/>
      <c r="C196" s="7"/>
      <c r="D196" s="126" t="s">
        <v>1470</v>
      </c>
      <c r="E196" s="7"/>
      <c r="F196" s="7"/>
      <c r="G196" s="7"/>
      <c r="H196" s="7"/>
      <c r="I196" s="7"/>
      <c r="J196" s="7"/>
      <c r="K196" s="7"/>
      <c r="L196" s="7"/>
      <c r="M196" s="7"/>
      <c r="N196" s="7"/>
      <c r="O196" s="7"/>
      <c r="P196" s="7"/>
      <c r="Q196" s="7"/>
      <c r="R196" s="7"/>
      <c r="S196" s="4"/>
    </row>
    <row r="197" spans="1:19" hidden="1" outlineLevel="1">
      <c r="A197" s="4"/>
      <c r="B197" s="4"/>
      <c r="C197" s="7"/>
      <c r="D197" s="127" t="s">
        <v>1447</v>
      </c>
      <c r="E197" s="7"/>
      <c r="F197" s="7"/>
      <c r="G197" s="7"/>
      <c r="H197" s="7"/>
      <c r="I197" s="7"/>
      <c r="J197" s="7"/>
      <c r="K197" s="7"/>
      <c r="L197" s="7"/>
      <c r="M197" s="7"/>
      <c r="N197" s="7"/>
      <c r="O197" s="7"/>
      <c r="P197" s="7"/>
      <c r="Q197" s="7"/>
      <c r="R197" s="7"/>
      <c r="S197" s="4"/>
    </row>
    <row r="198" spans="1:19" hidden="1" outlineLevel="1">
      <c r="A198" s="4"/>
      <c r="B198" s="4"/>
      <c r="C198" s="7"/>
      <c r="D198" s="7"/>
      <c r="E198" s="7"/>
      <c r="F198" s="7"/>
      <c r="G198" s="7"/>
      <c r="H198" s="7"/>
      <c r="I198" s="7"/>
      <c r="J198" s="7"/>
      <c r="K198" s="7"/>
      <c r="L198" s="7"/>
      <c r="M198" s="7"/>
      <c r="N198" s="7"/>
      <c r="O198" s="7"/>
      <c r="P198" s="7"/>
      <c r="Q198" s="7"/>
      <c r="R198" s="7"/>
      <c r="S198" s="4"/>
    </row>
    <row r="199" spans="1:19" ht="29.1" hidden="1" outlineLevel="1">
      <c r="A199" s="4"/>
      <c r="B199" s="4"/>
      <c r="C199" s="7"/>
      <c r="D199" s="704" t="s">
        <v>1471</v>
      </c>
      <c r="E199" s="16" t="s">
        <v>1345</v>
      </c>
      <c r="F199" s="116" t="s">
        <v>1472</v>
      </c>
      <c r="G199" s="116" t="s">
        <v>1473</v>
      </c>
      <c r="H199" s="116" t="s">
        <v>1474</v>
      </c>
      <c r="I199" s="116" t="s">
        <v>1475</v>
      </c>
      <c r="J199" s="116" t="s">
        <v>1476</v>
      </c>
      <c r="K199" s="116" t="s">
        <v>1477</v>
      </c>
      <c r="L199" s="116" t="s">
        <v>1478</v>
      </c>
      <c r="M199" s="116" t="s">
        <v>1479</v>
      </c>
      <c r="N199" s="116" t="s">
        <v>1480</v>
      </c>
      <c r="O199" s="116" t="s">
        <v>1481</v>
      </c>
      <c r="P199" s="116" t="s">
        <v>1482</v>
      </c>
      <c r="Q199" s="116" t="s">
        <v>1483</v>
      </c>
      <c r="R199" s="7"/>
      <c r="S199" s="4"/>
    </row>
    <row r="200" spans="1:19" hidden="1" outlineLevel="1">
      <c r="A200" s="4"/>
      <c r="B200" s="4"/>
      <c r="C200" s="7"/>
      <c r="D200" s="705"/>
      <c r="E200" s="16" t="s">
        <v>1484</v>
      </c>
      <c r="F200" s="312">
        <f t="shared" ref="F200:Q200" si="24">F217</f>
        <v>17121.55</v>
      </c>
      <c r="G200" s="312">
        <f t="shared" si="24"/>
        <v>0</v>
      </c>
      <c r="H200" s="312">
        <f t="shared" si="24"/>
        <v>0</v>
      </c>
      <c r="I200" s="312">
        <f t="shared" si="24"/>
        <v>0</v>
      </c>
      <c r="J200" s="312">
        <f t="shared" si="24"/>
        <v>0</v>
      </c>
      <c r="K200" s="312">
        <f t="shared" si="24"/>
        <v>0</v>
      </c>
      <c r="L200" s="312">
        <f t="shared" si="24"/>
        <v>0</v>
      </c>
      <c r="M200" s="312">
        <f t="shared" si="24"/>
        <v>0</v>
      </c>
      <c r="N200" s="312">
        <f t="shared" si="24"/>
        <v>0</v>
      </c>
      <c r="O200" s="312">
        <f t="shared" si="24"/>
        <v>0</v>
      </c>
      <c r="P200" s="312">
        <f t="shared" si="24"/>
        <v>200</v>
      </c>
      <c r="Q200" s="312">
        <f t="shared" si="24"/>
        <v>17321.55</v>
      </c>
      <c r="R200" s="7"/>
      <c r="S200" s="4"/>
    </row>
    <row r="201" spans="1:19" hidden="1" outlineLevel="1">
      <c r="A201" s="4"/>
      <c r="B201" s="4"/>
      <c r="C201" s="7"/>
      <c r="D201" s="705"/>
      <c r="E201" s="16" t="s">
        <v>199</v>
      </c>
      <c r="F201" s="312">
        <f t="shared" ref="F201:Q201" si="25">F234</f>
        <v>20221.46</v>
      </c>
      <c r="G201" s="312">
        <f t="shared" si="25"/>
        <v>0</v>
      </c>
      <c r="H201" s="312">
        <f t="shared" si="25"/>
        <v>0</v>
      </c>
      <c r="I201" s="312">
        <f t="shared" si="25"/>
        <v>0</v>
      </c>
      <c r="J201" s="312">
        <f t="shared" si="25"/>
        <v>0</v>
      </c>
      <c r="K201" s="312">
        <f t="shared" si="25"/>
        <v>0</v>
      </c>
      <c r="L201" s="312">
        <f t="shared" si="25"/>
        <v>0</v>
      </c>
      <c r="M201" s="312">
        <f t="shared" si="25"/>
        <v>0</v>
      </c>
      <c r="N201" s="312">
        <f t="shared" si="25"/>
        <v>20</v>
      </c>
      <c r="O201" s="312">
        <f t="shared" si="25"/>
        <v>0</v>
      </c>
      <c r="P201" s="312">
        <f t="shared" si="25"/>
        <v>200</v>
      </c>
      <c r="Q201" s="312">
        <f t="shared" si="25"/>
        <v>20441.46</v>
      </c>
      <c r="R201" s="7"/>
      <c r="S201" s="4"/>
    </row>
    <row r="202" spans="1:19" hidden="1" outlineLevel="1">
      <c r="A202" s="4"/>
      <c r="B202" s="4"/>
      <c r="C202" s="7"/>
      <c r="D202" s="706"/>
      <c r="E202" s="16" t="s">
        <v>1485</v>
      </c>
      <c r="F202" s="312">
        <f>F201-F200</f>
        <v>3099.91</v>
      </c>
      <c r="G202" s="312">
        <f t="shared" ref="G202:Q202" si="26">G201-G200</f>
        <v>0</v>
      </c>
      <c r="H202" s="312">
        <f t="shared" si="26"/>
        <v>0</v>
      </c>
      <c r="I202" s="312">
        <f t="shared" si="26"/>
        <v>0</v>
      </c>
      <c r="J202" s="312">
        <f t="shared" si="26"/>
        <v>0</v>
      </c>
      <c r="K202" s="312">
        <f t="shared" si="26"/>
        <v>0</v>
      </c>
      <c r="L202" s="312">
        <f t="shared" si="26"/>
        <v>0</v>
      </c>
      <c r="M202" s="312">
        <f t="shared" si="26"/>
        <v>0</v>
      </c>
      <c r="N202" s="312">
        <f t="shared" si="26"/>
        <v>20</v>
      </c>
      <c r="O202" s="312">
        <f t="shared" si="26"/>
        <v>0</v>
      </c>
      <c r="P202" s="312">
        <f t="shared" si="26"/>
        <v>0</v>
      </c>
      <c r="Q202" s="312">
        <f t="shared" si="26"/>
        <v>3119.91</v>
      </c>
      <c r="R202" s="7"/>
      <c r="S202" s="4"/>
    </row>
    <row r="203" spans="1:19" hidden="1" outlineLevel="1">
      <c r="A203" s="4"/>
      <c r="B203" s="4"/>
      <c r="C203" s="7"/>
      <c r="D203" s="7"/>
      <c r="E203" s="7"/>
      <c r="F203" s="7"/>
      <c r="G203" s="7"/>
      <c r="H203" s="7"/>
      <c r="I203" s="7"/>
      <c r="J203" s="7"/>
      <c r="K203" s="7"/>
      <c r="L203" s="7"/>
      <c r="M203" s="7"/>
      <c r="N203" s="7"/>
      <c r="O203" s="7"/>
      <c r="P203" s="7"/>
      <c r="Q203" s="7"/>
      <c r="R203" s="7"/>
      <c r="S203" s="4"/>
    </row>
    <row r="204" spans="1:19" collapsed="1">
      <c r="A204" s="4"/>
      <c r="B204" s="4"/>
      <c r="C204" s="4"/>
      <c r="D204" s="4"/>
      <c r="E204" s="4"/>
      <c r="F204" s="4"/>
      <c r="G204" s="4"/>
      <c r="H204" s="4"/>
      <c r="I204" s="4"/>
      <c r="J204" s="4"/>
      <c r="K204" s="4"/>
      <c r="L204" s="4"/>
      <c r="M204" s="4"/>
      <c r="N204" s="4"/>
      <c r="O204" s="4"/>
      <c r="P204" s="4"/>
      <c r="Q204" s="4"/>
      <c r="R204" s="4"/>
      <c r="S204" s="4"/>
    </row>
    <row r="205" spans="1:19" ht="18.600000000000001">
      <c r="A205" s="102"/>
      <c r="B205" s="102"/>
      <c r="C205" s="562" t="s">
        <v>1500</v>
      </c>
      <c r="D205" s="102"/>
      <c r="E205" s="102"/>
      <c r="F205" s="102"/>
      <c r="G205" s="102"/>
      <c r="H205" s="102"/>
      <c r="I205" s="102"/>
      <c r="J205" s="102"/>
      <c r="K205" s="102"/>
      <c r="L205" s="102"/>
      <c r="M205" s="102"/>
      <c r="N205" s="102"/>
      <c r="O205" s="102"/>
      <c r="P205" s="102"/>
      <c r="Q205" s="102"/>
      <c r="R205" s="102"/>
      <c r="S205" s="4"/>
    </row>
    <row r="206" spans="1:19" hidden="1" outlineLevel="1">
      <c r="A206" s="4"/>
      <c r="B206" s="4"/>
      <c r="C206" s="4"/>
      <c r="D206" s="4"/>
      <c r="E206" s="4"/>
      <c r="F206" s="4"/>
      <c r="G206" s="4"/>
      <c r="H206" s="4"/>
      <c r="I206" s="4"/>
      <c r="J206" s="4"/>
      <c r="K206" s="4"/>
      <c r="L206" s="4"/>
      <c r="M206" s="4"/>
      <c r="N206" s="4"/>
      <c r="O206" s="4"/>
      <c r="P206" s="4"/>
      <c r="Q206" s="4"/>
      <c r="R206" s="4"/>
      <c r="S206" s="4"/>
    </row>
    <row r="207" spans="1:19" hidden="1" outlineLevel="1">
      <c r="A207" s="4"/>
      <c r="B207" s="4"/>
      <c r="C207" s="7"/>
      <c r="D207" s="7"/>
      <c r="E207" s="7"/>
      <c r="F207" s="7"/>
      <c r="G207" s="7"/>
      <c r="H207" s="7"/>
      <c r="I207" s="7"/>
      <c r="J207" s="7"/>
      <c r="K207" s="7"/>
      <c r="L207" s="7"/>
      <c r="M207" s="7"/>
      <c r="N207" s="7"/>
      <c r="O207" s="7"/>
      <c r="P207" s="7"/>
      <c r="Q207" s="7"/>
      <c r="R207" s="7"/>
      <c r="S207" s="4"/>
    </row>
    <row r="208" spans="1:19" ht="29.1" hidden="1" outlineLevel="1">
      <c r="A208" s="4"/>
      <c r="B208" s="4"/>
      <c r="C208" s="7"/>
      <c r="D208" s="116" t="s">
        <v>1361</v>
      </c>
      <c r="E208" s="116" t="s">
        <v>1487</v>
      </c>
      <c r="F208" s="116" t="s">
        <v>1472</v>
      </c>
      <c r="G208" s="116" t="s">
        <v>1473</v>
      </c>
      <c r="H208" s="116" t="s">
        <v>1474</v>
      </c>
      <c r="I208" s="116" t="s">
        <v>1475</v>
      </c>
      <c r="J208" s="116" t="s">
        <v>1476</v>
      </c>
      <c r="K208" s="116" t="s">
        <v>1477</v>
      </c>
      <c r="L208" s="116" t="s">
        <v>1478</v>
      </c>
      <c r="M208" s="116" t="s">
        <v>1479</v>
      </c>
      <c r="N208" s="116" t="s">
        <v>1480</v>
      </c>
      <c r="O208" s="116" t="s">
        <v>1481</v>
      </c>
      <c r="P208" s="116" t="s">
        <v>1482</v>
      </c>
      <c r="Q208" s="116" t="s">
        <v>1483</v>
      </c>
      <c r="R208" s="148"/>
      <c r="S208" s="4"/>
    </row>
    <row r="209" spans="1:19" hidden="1" outlineLevel="1">
      <c r="A209" s="4"/>
      <c r="B209" s="4"/>
      <c r="C209" s="7"/>
      <c r="D209" s="116" t="s">
        <v>1167</v>
      </c>
      <c r="E209" s="118" t="s">
        <v>1181</v>
      </c>
      <c r="F209" s="110">
        <v>135</v>
      </c>
      <c r="G209" s="110">
        <v>0</v>
      </c>
      <c r="H209" s="110">
        <v>0</v>
      </c>
      <c r="I209" s="110">
        <v>0</v>
      </c>
      <c r="J209" s="110">
        <v>0</v>
      </c>
      <c r="K209" s="110">
        <v>0</v>
      </c>
      <c r="L209" s="110">
        <v>0</v>
      </c>
      <c r="M209" s="110">
        <v>0</v>
      </c>
      <c r="N209" s="110">
        <v>0</v>
      </c>
      <c r="O209" s="110">
        <v>0</v>
      </c>
      <c r="P209" s="110">
        <v>25</v>
      </c>
      <c r="Q209" s="110">
        <f>SUM(Table4798497[[#This Row],[Consumption (USD)]:[Vendor Support (USD)]])</f>
        <v>160</v>
      </c>
      <c r="R209" s="157"/>
      <c r="S209" s="4"/>
    </row>
    <row r="210" spans="1:19" hidden="1" outlineLevel="1">
      <c r="A210" s="4"/>
      <c r="B210" s="4"/>
      <c r="C210" s="7"/>
      <c r="D210" s="116" t="s">
        <v>1168</v>
      </c>
      <c r="E210" s="118" t="s">
        <v>1182</v>
      </c>
      <c r="F210" s="110">
        <v>100</v>
      </c>
      <c r="G210" s="110">
        <v>0</v>
      </c>
      <c r="H210" s="110">
        <v>0</v>
      </c>
      <c r="I210" s="110">
        <v>0</v>
      </c>
      <c r="J210" s="110">
        <v>0</v>
      </c>
      <c r="K210" s="115">
        <v>0</v>
      </c>
      <c r="L210" s="115">
        <v>0</v>
      </c>
      <c r="M210" s="115">
        <v>0</v>
      </c>
      <c r="N210" s="115">
        <v>0</v>
      </c>
      <c r="O210" s="115">
        <v>0</v>
      </c>
      <c r="P210" s="115">
        <v>25</v>
      </c>
      <c r="Q210" s="110">
        <f>SUM(Table4798497[[#This Row],[Consumption (USD)]:[Vendor Support (USD)]])</f>
        <v>125</v>
      </c>
      <c r="R210" s="157"/>
      <c r="S210" s="4"/>
    </row>
    <row r="211" spans="1:19" hidden="1" outlineLevel="1">
      <c r="A211" s="4"/>
      <c r="B211" s="4"/>
      <c r="C211" s="7"/>
      <c r="D211" s="116" t="s">
        <v>975</v>
      </c>
      <c r="E211" s="118" t="s">
        <v>1183</v>
      </c>
      <c r="F211" s="115">
        <v>2592.5</v>
      </c>
      <c r="G211" s="110">
        <v>0</v>
      </c>
      <c r="H211" s="110">
        <v>0</v>
      </c>
      <c r="I211" s="110">
        <v>0</v>
      </c>
      <c r="J211" s="110">
        <v>0</v>
      </c>
      <c r="K211" s="115">
        <v>0</v>
      </c>
      <c r="L211" s="115">
        <v>0</v>
      </c>
      <c r="M211" s="115">
        <v>0</v>
      </c>
      <c r="N211" s="115">
        <v>0</v>
      </c>
      <c r="O211" s="115">
        <v>0</v>
      </c>
      <c r="P211" s="115">
        <v>25</v>
      </c>
      <c r="Q211" s="110">
        <f>SUM(Table4798497[[#This Row],[Consumption (USD)]:[Vendor Support (USD)]])</f>
        <v>2617.5</v>
      </c>
      <c r="R211" s="157"/>
      <c r="S211" s="4"/>
    </row>
    <row r="212" spans="1:19" hidden="1" outlineLevel="1">
      <c r="A212" s="4"/>
      <c r="B212" s="4"/>
      <c r="C212" s="7"/>
      <c r="D212" s="116" t="s">
        <v>981</v>
      </c>
      <c r="E212" s="118" t="s">
        <v>1184</v>
      </c>
      <c r="F212" s="115">
        <v>2708.3</v>
      </c>
      <c r="G212" s="110">
        <v>0</v>
      </c>
      <c r="H212" s="110">
        <v>0</v>
      </c>
      <c r="I212" s="110">
        <v>0</v>
      </c>
      <c r="J212" s="110">
        <v>0</v>
      </c>
      <c r="K212" s="115">
        <v>0</v>
      </c>
      <c r="L212" s="115">
        <v>0</v>
      </c>
      <c r="M212" s="115">
        <v>0</v>
      </c>
      <c r="N212" s="115">
        <v>0</v>
      </c>
      <c r="O212" s="115">
        <v>0</v>
      </c>
      <c r="P212" s="115">
        <v>25</v>
      </c>
      <c r="Q212" s="110">
        <f>SUM(Table4798497[[#This Row],[Consumption (USD)]:[Vendor Support (USD)]])</f>
        <v>2733.3</v>
      </c>
      <c r="R212" s="157"/>
      <c r="S212" s="4"/>
    </row>
    <row r="213" spans="1:19" hidden="1" outlineLevel="1">
      <c r="A213" s="4"/>
      <c r="B213" s="4"/>
      <c r="C213" s="7"/>
      <c r="D213" s="116" t="s">
        <v>979</v>
      </c>
      <c r="E213" s="118" t="s">
        <v>1184</v>
      </c>
      <c r="F213" s="115">
        <v>166.08</v>
      </c>
      <c r="G213" s="110">
        <v>0</v>
      </c>
      <c r="H213" s="110">
        <v>0</v>
      </c>
      <c r="I213" s="110">
        <v>0</v>
      </c>
      <c r="J213" s="110">
        <v>0</v>
      </c>
      <c r="K213" s="115">
        <v>0</v>
      </c>
      <c r="L213" s="115">
        <v>0</v>
      </c>
      <c r="M213" s="115">
        <v>0</v>
      </c>
      <c r="N213" s="115">
        <v>0</v>
      </c>
      <c r="O213" s="115">
        <v>0</v>
      </c>
      <c r="P213" s="115">
        <v>25</v>
      </c>
      <c r="Q213" s="110">
        <f>SUM(Table4798497[[#This Row],[Consumption (USD)]:[Vendor Support (USD)]])</f>
        <v>191.08</v>
      </c>
      <c r="R213" s="157"/>
      <c r="S213" s="4"/>
    </row>
    <row r="214" spans="1:19" hidden="1" outlineLevel="1">
      <c r="A214" s="4"/>
      <c r="B214" s="4"/>
      <c r="C214" s="7"/>
      <c r="D214" s="116" t="s">
        <v>980</v>
      </c>
      <c r="E214" s="118" t="s">
        <v>1185</v>
      </c>
      <c r="F214" s="115">
        <v>10118.530000000001</v>
      </c>
      <c r="G214" s="110">
        <v>0</v>
      </c>
      <c r="H214" s="110">
        <v>0</v>
      </c>
      <c r="I214" s="110">
        <v>0</v>
      </c>
      <c r="J214" s="110">
        <v>0</v>
      </c>
      <c r="K214" s="115">
        <v>0</v>
      </c>
      <c r="L214" s="115">
        <v>0</v>
      </c>
      <c r="M214" s="115">
        <v>0</v>
      </c>
      <c r="N214" s="115">
        <v>0</v>
      </c>
      <c r="O214" s="115">
        <v>0</v>
      </c>
      <c r="P214" s="115">
        <v>25</v>
      </c>
      <c r="Q214" s="110">
        <f>SUM(Table4798497[[#This Row],[Consumption (USD)]:[Vendor Support (USD)]])</f>
        <v>10143.530000000001</v>
      </c>
      <c r="R214" s="157"/>
      <c r="S214" s="4"/>
    </row>
    <row r="215" spans="1:19" hidden="1" outlineLevel="1">
      <c r="A215" s="4"/>
      <c r="B215" s="4"/>
      <c r="C215" s="7"/>
      <c r="D215" s="116" t="s">
        <v>982</v>
      </c>
      <c r="E215" s="118" t="s">
        <v>1488</v>
      </c>
      <c r="F215" s="115">
        <v>1003.75</v>
      </c>
      <c r="G215" s="110">
        <v>0</v>
      </c>
      <c r="H215" s="110">
        <v>0</v>
      </c>
      <c r="I215" s="110">
        <v>0</v>
      </c>
      <c r="J215" s="110">
        <v>0</v>
      </c>
      <c r="K215" s="115">
        <v>0</v>
      </c>
      <c r="L215" s="115">
        <v>0</v>
      </c>
      <c r="M215" s="115">
        <v>0</v>
      </c>
      <c r="N215" s="115">
        <v>0</v>
      </c>
      <c r="O215" s="115">
        <v>0</v>
      </c>
      <c r="P215" s="115">
        <v>25</v>
      </c>
      <c r="Q215" s="110">
        <f>SUM(Table4798497[[#This Row],[Consumption (USD)]:[Vendor Support (USD)]])</f>
        <v>1028.75</v>
      </c>
      <c r="R215" s="157"/>
      <c r="S215" s="4"/>
    </row>
    <row r="216" spans="1:19" hidden="1" outlineLevel="1">
      <c r="A216" s="4"/>
      <c r="B216" s="4"/>
      <c r="C216" s="7"/>
      <c r="D216" s="116" t="s">
        <v>1169</v>
      </c>
      <c r="E216" s="116" t="s">
        <v>1489</v>
      </c>
      <c r="F216" s="115">
        <v>297.39</v>
      </c>
      <c r="G216" s="110">
        <v>0</v>
      </c>
      <c r="H216" s="110">
        <v>0</v>
      </c>
      <c r="I216" s="110">
        <v>0</v>
      </c>
      <c r="J216" s="110">
        <v>0</v>
      </c>
      <c r="K216" s="115">
        <v>0</v>
      </c>
      <c r="L216" s="115">
        <v>0</v>
      </c>
      <c r="M216" s="115">
        <v>0</v>
      </c>
      <c r="N216" s="115">
        <v>0</v>
      </c>
      <c r="O216" s="115">
        <v>0</v>
      </c>
      <c r="P216" s="115">
        <v>25</v>
      </c>
      <c r="Q216" s="110">
        <f>SUM(Table4798497[[#This Row],[Consumption (USD)]:[Vendor Support (USD)]])</f>
        <v>322.39</v>
      </c>
      <c r="R216" s="157"/>
      <c r="S216" s="4"/>
    </row>
    <row r="217" spans="1:19" hidden="1" outlineLevel="1">
      <c r="A217" s="4"/>
      <c r="B217" s="4"/>
      <c r="C217" s="7"/>
      <c r="D217" s="118"/>
      <c r="E217" s="118"/>
      <c r="F217" s="115">
        <f t="shared" ref="F217:P217" si="27">SUM(F209:F216)</f>
        <v>17121.55</v>
      </c>
      <c r="G217" s="115">
        <f t="shared" si="27"/>
        <v>0</v>
      </c>
      <c r="H217" s="115">
        <f t="shared" si="27"/>
        <v>0</v>
      </c>
      <c r="I217" s="115">
        <f t="shared" si="27"/>
        <v>0</v>
      </c>
      <c r="J217" s="115">
        <f t="shared" si="27"/>
        <v>0</v>
      </c>
      <c r="K217" s="115">
        <f t="shared" si="27"/>
        <v>0</v>
      </c>
      <c r="L217" s="115">
        <f t="shared" si="27"/>
        <v>0</v>
      </c>
      <c r="M217" s="115">
        <f t="shared" si="27"/>
        <v>0</v>
      </c>
      <c r="N217" s="115">
        <f t="shared" si="27"/>
        <v>0</v>
      </c>
      <c r="O217" s="115">
        <f t="shared" si="27"/>
        <v>0</v>
      </c>
      <c r="P217" s="115">
        <f t="shared" si="27"/>
        <v>200</v>
      </c>
      <c r="Q217" s="110">
        <f>SUM(Table4798497[[#This Row],[Consumption (USD)]:[Vendor Support (USD)]])</f>
        <v>17321.55</v>
      </c>
      <c r="R217" s="158"/>
      <c r="S217" s="4"/>
    </row>
    <row r="218" spans="1:19" hidden="1" outlineLevel="1">
      <c r="A218" s="4"/>
      <c r="B218" s="4"/>
      <c r="C218" s="7"/>
      <c r="D218" s="146"/>
      <c r="E218" s="146"/>
      <c r="F218" s="146"/>
      <c r="G218" s="146"/>
      <c r="H218" s="146"/>
      <c r="I218" s="147"/>
      <c r="J218" s="148"/>
      <c r="K218" s="148"/>
      <c r="L218" s="148"/>
      <c r="M218" s="148"/>
      <c r="N218" s="149"/>
      <c r="O218" s="148"/>
      <c r="P218" s="149"/>
      <c r="Q218" s="150"/>
      <c r="R218" s="150"/>
      <c r="S218" s="155"/>
    </row>
    <row r="219" spans="1:19" collapsed="1">
      <c r="A219" s="4"/>
      <c r="B219" s="4"/>
      <c r="C219" s="4"/>
      <c r="D219" s="151"/>
      <c r="E219" s="151"/>
      <c r="F219" s="151"/>
      <c r="G219" s="151"/>
      <c r="H219" s="151"/>
      <c r="I219" s="152"/>
      <c r="J219" s="153"/>
      <c r="K219" s="153"/>
      <c r="L219" s="153"/>
      <c r="M219" s="153"/>
      <c r="N219" s="154"/>
      <c r="O219" s="153"/>
      <c r="P219" s="154"/>
      <c r="Q219" s="155"/>
      <c r="R219" s="155"/>
      <c r="S219" s="155"/>
    </row>
    <row r="220" spans="1:19" ht="18.600000000000001">
      <c r="A220" s="102"/>
      <c r="B220" s="102"/>
      <c r="C220" s="562" t="s">
        <v>1459</v>
      </c>
      <c r="D220" s="102"/>
      <c r="E220" s="102"/>
      <c r="F220" s="102"/>
      <c r="G220" s="102"/>
      <c r="H220" s="102"/>
      <c r="I220" s="102"/>
      <c r="J220" s="102"/>
      <c r="K220" s="102"/>
      <c r="L220" s="102"/>
      <c r="M220" s="102"/>
      <c r="N220" s="102"/>
      <c r="O220" s="102"/>
      <c r="P220" s="102"/>
      <c r="Q220" s="102"/>
      <c r="R220" s="102"/>
      <c r="S220" s="4"/>
    </row>
    <row r="221" spans="1:19" hidden="1" outlineLevel="1">
      <c r="A221" s="4"/>
      <c r="B221" s="4"/>
      <c r="C221" s="4"/>
      <c r="D221" s="4"/>
      <c r="E221" s="4"/>
      <c r="F221" s="4"/>
      <c r="G221" s="4"/>
      <c r="H221" s="4"/>
      <c r="I221" s="4"/>
      <c r="J221" s="4"/>
      <c r="K221" s="4"/>
      <c r="L221" s="4"/>
      <c r="M221" s="4"/>
      <c r="N221" s="4"/>
      <c r="O221" s="4"/>
      <c r="P221" s="4"/>
      <c r="Q221" s="4"/>
      <c r="R221" s="4"/>
      <c r="S221" s="4"/>
    </row>
    <row r="222" spans="1:19" hidden="1" outlineLevel="1">
      <c r="A222" s="4"/>
      <c r="B222" s="4"/>
      <c r="C222" s="7"/>
      <c r="D222" s="7"/>
      <c r="E222" s="7"/>
      <c r="F222" s="7"/>
      <c r="G222" s="7"/>
      <c r="H222" s="7"/>
      <c r="I222" s="7"/>
      <c r="J222" s="7"/>
      <c r="K222" s="7"/>
      <c r="L222" s="7"/>
      <c r="M222" s="7"/>
      <c r="N222" s="7"/>
      <c r="O222" s="7"/>
      <c r="P222" s="7"/>
      <c r="Q222" s="7"/>
      <c r="R222" s="7"/>
      <c r="S222" s="4"/>
    </row>
    <row r="223" spans="1:19" ht="29.1" hidden="1" outlineLevel="1">
      <c r="A223" s="4"/>
      <c r="B223" s="4"/>
      <c r="C223" s="7"/>
      <c r="D223" s="116" t="s">
        <v>1361</v>
      </c>
      <c r="E223" s="116" t="s">
        <v>1487</v>
      </c>
      <c r="F223" s="116" t="s">
        <v>1472</v>
      </c>
      <c r="G223" s="116" t="s">
        <v>1473</v>
      </c>
      <c r="H223" s="116" t="s">
        <v>1474</v>
      </c>
      <c r="I223" s="116" t="s">
        <v>1475</v>
      </c>
      <c r="J223" s="116" t="s">
        <v>1476</v>
      </c>
      <c r="K223" s="116" t="s">
        <v>1477</v>
      </c>
      <c r="L223" s="116" t="s">
        <v>1478</v>
      </c>
      <c r="M223" s="116" t="s">
        <v>1479</v>
      </c>
      <c r="N223" s="116" t="s">
        <v>1480</v>
      </c>
      <c r="O223" s="116" t="s">
        <v>1481</v>
      </c>
      <c r="P223" s="116" t="s">
        <v>1482</v>
      </c>
      <c r="Q223" s="116" t="s">
        <v>1483</v>
      </c>
      <c r="R223" s="148"/>
      <c r="S223" s="4"/>
    </row>
    <row r="224" spans="1:19" hidden="1" outlineLevel="1">
      <c r="A224" s="4"/>
      <c r="B224" s="4"/>
      <c r="C224" s="7"/>
      <c r="D224" s="116" t="s">
        <v>1167</v>
      </c>
      <c r="E224" s="116" t="s">
        <v>1181</v>
      </c>
      <c r="F224" s="110">
        <v>135</v>
      </c>
      <c r="G224" s="110">
        <v>0</v>
      </c>
      <c r="H224" s="110">
        <v>0</v>
      </c>
      <c r="I224" s="110">
        <v>0</v>
      </c>
      <c r="J224" s="110">
        <v>0</v>
      </c>
      <c r="K224" s="110">
        <v>0</v>
      </c>
      <c r="L224" s="110">
        <v>0</v>
      </c>
      <c r="M224" s="110">
        <v>0</v>
      </c>
      <c r="N224" s="110">
        <v>0</v>
      </c>
      <c r="O224" s="110">
        <v>0</v>
      </c>
      <c r="P224" s="110">
        <v>25</v>
      </c>
      <c r="Q224" s="110">
        <f>SUM(F224:P224)</f>
        <v>160</v>
      </c>
      <c r="R224" s="157"/>
      <c r="S224" s="4"/>
    </row>
    <row r="225" spans="1:19" hidden="1" outlineLevel="1">
      <c r="A225" s="4"/>
      <c r="B225" s="4"/>
      <c r="C225" s="7"/>
      <c r="D225" s="116" t="s">
        <v>1168</v>
      </c>
      <c r="E225" s="116" t="s">
        <v>1182</v>
      </c>
      <c r="F225" s="110">
        <v>100</v>
      </c>
      <c r="G225" s="110">
        <v>0</v>
      </c>
      <c r="H225" s="110">
        <v>0</v>
      </c>
      <c r="I225" s="110">
        <v>0</v>
      </c>
      <c r="J225" s="110">
        <v>0</v>
      </c>
      <c r="K225" s="110">
        <v>0</v>
      </c>
      <c r="L225" s="110">
        <v>0</v>
      </c>
      <c r="M225" s="110">
        <v>0</v>
      </c>
      <c r="N225" s="110">
        <v>0</v>
      </c>
      <c r="O225" s="110">
        <v>0</v>
      </c>
      <c r="P225" s="110">
        <v>25</v>
      </c>
      <c r="Q225" s="110">
        <f t="shared" ref="Q225:Q234" si="28">SUM(F225:P225)</f>
        <v>125</v>
      </c>
      <c r="R225" s="157"/>
      <c r="S225" s="4"/>
    </row>
    <row r="226" spans="1:19" hidden="1" outlineLevel="1">
      <c r="A226" s="4"/>
      <c r="B226" s="4"/>
      <c r="C226" s="7"/>
      <c r="D226" s="116" t="s">
        <v>978</v>
      </c>
      <c r="E226" s="116" t="s">
        <v>1184</v>
      </c>
      <c r="F226" s="110">
        <v>341.33</v>
      </c>
      <c r="G226" s="110">
        <v>0</v>
      </c>
      <c r="H226" s="110">
        <v>0</v>
      </c>
      <c r="I226" s="110">
        <v>0</v>
      </c>
      <c r="J226" s="110">
        <v>0</v>
      </c>
      <c r="K226" s="110">
        <v>0</v>
      </c>
      <c r="L226" s="110">
        <v>0</v>
      </c>
      <c r="M226" s="110">
        <v>0</v>
      </c>
      <c r="N226" s="110">
        <v>0</v>
      </c>
      <c r="O226" s="110">
        <v>0</v>
      </c>
      <c r="P226" s="110">
        <v>0</v>
      </c>
      <c r="Q226" s="110">
        <f t="shared" si="28"/>
        <v>341.33</v>
      </c>
      <c r="R226" s="157"/>
      <c r="S226" s="4"/>
    </row>
    <row r="227" spans="1:19" hidden="1" outlineLevel="1">
      <c r="A227" s="4"/>
      <c r="B227" s="4"/>
      <c r="C227" s="7"/>
      <c r="D227" s="116" t="s">
        <v>1492</v>
      </c>
      <c r="E227" s="116" t="s">
        <v>1395</v>
      </c>
      <c r="F227" s="110">
        <v>0</v>
      </c>
      <c r="G227" s="110">
        <v>0</v>
      </c>
      <c r="H227" s="110">
        <v>0</v>
      </c>
      <c r="I227" s="110">
        <v>0</v>
      </c>
      <c r="J227" s="110">
        <v>0</v>
      </c>
      <c r="K227" s="110">
        <v>0</v>
      </c>
      <c r="L227" s="110">
        <v>0</v>
      </c>
      <c r="M227" s="110">
        <v>0</v>
      </c>
      <c r="N227" s="110">
        <v>0</v>
      </c>
      <c r="O227" s="110">
        <v>0</v>
      </c>
      <c r="P227" s="110">
        <v>0</v>
      </c>
      <c r="Q227" s="110">
        <f t="shared" si="28"/>
        <v>0</v>
      </c>
      <c r="R227" s="157"/>
      <c r="S227" s="4"/>
    </row>
    <row r="228" spans="1:19" hidden="1" outlineLevel="1">
      <c r="A228" s="4"/>
      <c r="B228" s="4"/>
      <c r="C228" s="7"/>
      <c r="D228" s="116" t="s">
        <v>975</v>
      </c>
      <c r="E228" s="116" t="s">
        <v>1183</v>
      </c>
      <c r="F228" s="110">
        <f>2592.5*2</f>
        <v>5185</v>
      </c>
      <c r="G228" s="110">
        <v>0</v>
      </c>
      <c r="H228" s="110">
        <v>0</v>
      </c>
      <c r="I228" s="110">
        <v>0</v>
      </c>
      <c r="J228" s="110">
        <v>0</v>
      </c>
      <c r="K228" s="110">
        <v>0</v>
      </c>
      <c r="L228" s="110">
        <v>0</v>
      </c>
      <c r="M228" s="110">
        <v>0</v>
      </c>
      <c r="N228" s="110">
        <v>10</v>
      </c>
      <c r="O228" s="110">
        <v>0</v>
      </c>
      <c r="P228" s="110">
        <v>25</v>
      </c>
      <c r="Q228" s="110">
        <f t="shared" si="28"/>
        <v>5220</v>
      </c>
      <c r="R228" s="157"/>
      <c r="S228" s="4"/>
    </row>
    <row r="229" spans="1:19" hidden="1" outlineLevel="1">
      <c r="A229" s="4"/>
      <c r="B229" s="4"/>
      <c r="C229" s="7"/>
      <c r="D229" s="116" t="s">
        <v>981</v>
      </c>
      <c r="E229" s="116" t="s">
        <v>1184</v>
      </c>
      <c r="F229" s="110">
        <v>2708.3</v>
      </c>
      <c r="G229" s="110">
        <v>0</v>
      </c>
      <c r="H229" s="110">
        <v>0</v>
      </c>
      <c r="I229" s="110">
        <v>0</v>
      </c>
      <c r="J229" s="110">
        <v>0</v>
      </c>
      <c r="K229" s="110">
        <v>0</v>
      </c>
      <c r="L229" s="110">
        <v>0</v>
      </c>
      <c r="M229" s="110">
        <v>0</v>
      </c>
      <c r="N229" s="110">
        <v>0</v>
      </c>
      <c r="O229" s="110">
        <v>0</v>
      </c>
      <c r="P229" s="110">
        <v>25</v>
      </c>
      <c r="Q229" s="110">
        <f t="shared" si="28"/>
        <v>2733.3</v>
      </c>
      <c r="R229" s="157"/>
      <c r="S229" s="4"/>
    </row>
    <row r="230" spans="1:19" hidden="1" outlineLevel="1">
      <c r="A230" s="4"/>
      <c r="B230" s="4"/>
      <c r="C230" s="7"/>
      <c r="D230" s="116" t="s">
        <v>979</v>
      </c>
      <c r="E230" s="116" t="s">
        <v>1184</v>
      </c>
      <c r="F230" s="110">
        <f>166.08*2</f>
        <v>332.16</v>
      </c>
      <c r="G230" s="110">
        <v>0</v>
      </c>
      <c r="H230" s="110">
        <v>0</v>
      </c>
      <c r="I230" s="110">
        <v>0</v>
      </c>
      <c r="J230" s="110">
        <v>0</v>
      </c>
      <c r="K230" s="110">
        <v>0</v>
      </c>
      <c r="L230" s="110">
        <v>0</v>
      </c>
      <c r="M230" s="110">
        <v>0</v>
      </c>
      <c r="N230" s="110">
        <v>0</v>
      </c>
      <c r="O230" s="110">
        <v>0</v>
      </c>
      <c r="P230" s="110">
        <v>25</v>
      </c>
      <c r="Q230" s="110">
        <f t="shared" si="28"/>
        <v>357.16</v>
      </c>
      <c r="R230" s="157"/>
      <c r="S230" s="4"/>
    </row>
    <row r="231" spans="1:19" hidden="1" outlineLevel="1">
      <c r="A231" s="4"/>
      <c r="B231" s="4"/>
      <c r="C231" s="7"/>
      <c r="D231" s="116" t="s">
        <v>980</v>
      </c>
      <c r="E231" s="116" t="s">
        <v>1185</v>
      </c>
      <c r="F231" s="110">
        <v>10118.530000000001</v>
      </c>
      <c r="G231" s="110">
        <v>0</v>
      </c>
      <c r="H231" s="110">
        <v>0</v>
      </c>
      <c r="I231" s="110">
        <v>0</v>
      </c>
      <c r="J231" s="110">
        <v>0</v>
      </c>
      <c r="K231" s="110">
        <v>0</v>
      </c>
      <c r="L231" s="110">
        <v>0</v>
      </c>
      <c r="M231" s="110">
        <v>0</v>
      </c>
      <c r="N231" s="110">
        <v>0</v>
      </c>
      <c r="O231" s="110">
        <v>0</v>
      </c>
      <c r="P231" s="110">
        <v>25</v>
      </c>
      <c r="Q231" s="110">
        <f t="shared" si="28"/>
        <v>10143.530000000001</v>
      </c>
      <c r="R231" s="157"/>
      <c r="S231" s="4"/>
    </row>
    <row r="232" spans="1:19" hidden="1" outlineLevel="1">
      <c r="A232" s="4"/>
      <c r="B232" s="4"/>
      <c r="C232" s="7"/>
      <c r="D232" s="116" t="s">
        <v>982</v>
      </c>
      <c r="E232" s="116" t="s">
        <v>1488</v>
      </c>
      <c r="F232" s="110">
        <v>1003.75</v>
      </c>
      <c r="G232" s="110">
        <v>0</v>
      </c>
      <c r="H232" s="110">
        <v>0</v>
      </c>
      <c r="I232" s="110">
        <v>0</v>
      </c>
      <c r="J232" s="110">
        <v>0</v>
      </c>
      <c r="K232" s="110">
        <v>0</v>
      </c>
      <c r="L232" s="110">
        <v>0</v>
      </c>
      <c r="M232" s="110">
        <v>0</v>
      </c>
      <c r="N232" s="110">
        <v>10</v>
      </c>
      <c r="O232" s="110">
        <v>0</v>
      </c>
      <c r="P232" s="110">
        <v>25</v>
      </c>
      <c r="Q232" s="110">
        <f t="shared" si="28"/>
        <v>1038.75</v>
      </c>
      <c r="R232" s="157"/>
      <c r="S232" s="4"/>
    </row>
    <row r="233" spans="1:19" hidden="1" outlineLevel="1">
      <c r="A233" s="4"/>
      <c r="B233" s="4"/>
      <c r="C233" s="7"/>
      <c r="D233" s="116" t="s">
        <v>1169</v>
      </c>
      <c r="E233" s="116" t="s">
        <v>1489</v>
      </c>
      <c r="F233" s="110">
        <v>297.39</v>
      </c>
      <c r="G233" s="110">
        <v>0</v>
      </c>
      <c r="H233" s="110">
        <v>0</v>
      </c>
      <c r="I233" s="110">
        <v>0</v>
      </c>
      <c r="J233" s="110">
        <v>0</v>
      </c>
      <c r="K233" s="110">
        <v>0</v>
      </c>
      <c r="L233" s="110">
        <v>0</v>
      </c>
      <c r="M233" s="110">
        <v>0</v>
      </c>
      <c r="N233" s="110">
        <v>0</v>
      </c>
      <c r="O233" s="110">
        <v>0</v>
      </c>
      <c r="P233" s="110">
        <v>25</v>
      </c>
      <c r="Q233" s="110">
        <f t="shared" si="28"/>
        <v>322.39</v>
      </c>
      <c r="R233" s="157"/>
      <c r="S233" s="4"/>
    </row>
    <row r="234" spans="1:19" hidden="1" outlineLevel="1">
      <c r="A234" s="4"/>
      <c r="B234" s="4"/>
      <c r="C234" s="7"/>
      <c r="D234" s="116"/>
      <c r="E234" s="116"/>
      <c r="F234" s="110">
        <f t="shared" ref="F234:P234" si="29">SUM(F224:F233)</f>
        <v>20221.46</v>
      </c>
      <c r="G234" s="110">
        <f t="shared" si="29"/>
        <v>0</v>
      </c>
      <c r="H234" s="110">
        <f t="shared" si="29"/>
        <v>0</v>
      </c>
      <c r="I234" s="110">
        <f t="shared" si="29"/>
        <v>0</v>
      </c>
      <c r="J234" s="110">
        <f t="shared" si="29"/>
        <v>0</v>
      </c>
      <c r="K234" s="110">
        <f t="shared" si="29"/>
        <v>0</v>
      </c>
      <c r="L234" s="110">
        <f t="shared" si="29"/>
        <v>0</v>
      </c>
      <c r="M234" s="110">
        <f t="shared" si="29"/>
        <v>0</v>
      </c>
      <c r="N234" s="110">
        <f t="shared" si="29"/>
        <v>20</v>
      </c>
      <c r="O234" s="110">
        <f t="shared" si="29"/>
        <v>0</v>
      </c>
      <c r="P234" s="110">
        <f t="shared" si="29"/>
        <v>200</v>
      </c>
      <c r="Q234" s="110">
        <f t="shared" si="28"/>
        <v>20441.46</v>
      </c>
      <c r="R234" s="158"/>
      <c r="S234" s="4"/>
    </row>
    <row r="235" spans="1:19" hidden="1" outlineLevel="1">
      <c r="A235" s="4"/>
      <c r="B235" s="4"/>
      <c r="C235" s="7"/>
      <c r="D235" s="7"/>
      <c r="E235" s="7"/>
      <c r="F235" s="7"/>
      <c r="G235" s="7"/>
      <c r="H235" s="7"/>
      <c r="I235" s="7"/>
      <c r="J235" s="7"/>
      <c r="K235" s="7"/>
      <c r="L235" s="7"/>
      <c r="M235" s="7"/>
      <c r="N235" s="7"/>
      <c r="O235" s="7"/>
      <c r="P235" s="7"/>
      <c r="Q235" s="7"/>
      <c r="R235" s="7"/>
      <c r="S235" s="4"/>
    </row>
    <row r="236" spans="1:19" collapsed="1">
      <c r="A236" s="4"/>
      <c r="B236" s="4"/>
      <c r="C236" s="4"/>
      <c r="D236" s="4"/>
      <c r="E236" s="4"/>
      <c r="F236" s="4"/>
      <c r="G236" s="4"/>
      <c r="H236" s="4"/>
      <c r="I236" s="4"/>
      <c r="J236" s="4"/>
      <c r="K236" s="4"/>
      <c r="L236" s="4"/>
      <c r="M236" s="4"/>
      <c r="N236" s="4"/>
      <c r="O236" s="4"/>
      <c r="P236" s="4"/>
      <c r="Q236" s="4"/>
      <c r="R236" s="4"/>
      <c r="S236" s="4"/>
    </row>
    <row r="237" spans="1:19" ht="18.600000000000001">
      <c r="A237" s="4"/>
      <c r="B237" s="4"/>
      <c r="C237" s="102" t="s">
        <v>1501</v>
      </c>
      <c r="D237" s="102"/>
      <c r="E237" s="102"/>
      <c r="F237" s="102"/>
      <c r="G237" s="102"/>
      <c r="H237" s="102"/>
      <c r="I237" s="102"/>
      <c r="J237" s="102"/>
      <c r="K237" s="102"/>
      <c r="L237" s="102"/>
      <c r="M237" s="102"/>
      <c r="N237" s="102"/>
      <c r="O237" s="102"/>
      <c r="P237" s="102"/>
      <c r="Q237" s="102"/>
      <c r="R237" s="102"/>
      <c r="S237" s="4"/>
    </row>
    <row r="238" spans="1:19" hidden="1" outlineLevel="1">
      <c r="A238" s="4"/>
      <c r="B238" s="4"/>
      <c r="C238" s="4"/>
      <c r="D238" s="4"/>
      <c r="E238" s="4"/>
      <c r="F238" s="4"/>
      <c r="G238" s="4"/>
      <c r="H238" s="4"/>
      <c r="I238" s="4"/>
      <c r="J238" s="4"/>
      <c r="K238" s="4"/>
      <c r="L238" s="4"/>
      <c r="M238" s="4"/>
      <c r="N238" s="4"/>
      <c r="O238" s="4"/>
      <c r="P238" s="4"/>
      <c r="Q238" s="4"/>
      <c r="R238" s="4"/>
      <c r="S238" s="4"/>
    </row>
    <row r="239" spans="1:19" hidden="1" outlineLevel="1">
      <c r="A239" s="4"/>
      <c r="B239" s="4"/>
      <c r="C239" s="7"/>
      <c r="D239" s="7"/>
      <c r="E239" s="7"/>
      <c r="F239" s="7"/>
      <c r="G239" s="7"/>
      <c r="H239" s="7"/>
      <c r="I239" s="7"/>
      <c r="J239" s="7"/>
      <c r="K239" s="7"/>
      <c r="L239" s="7"/>
      <c r="M239" s="7"/>
      <c r="N239" s="7"/>
      <c r="O239" s="7"/>
      <c r="P239" s="7"/>
      <c r="Q239" s="7"/>
      <c r="R239" s="7"/>
      <c r="S239" s="4"/>
    </row>
    <row r="240" spans="1:19" hidden="1" outlineLevel="1">
      <c r="A240" s="4"/>
      <c r="B240" s="4"/>
      <c r="C240" s="7"/>
      <c r="D240" s="124" t="s">
        <v>1469</v>
      </c>
      <c r="E240" s="7"/>
      <c r="F240" s="7"/>
      <c r="G240" s="7"/>
      <c r="H240" s="7"/>
      <c r="I240" s="7"/>
      <c r="J240" s="7"/>
      <c r="K240" s="7"/>
      <c r="L240" s="7"/>
      <c r="M240" s="7"/>
      <c r="N240" s="7"/>
      <c r="O240" s="7"/>
      <c r="P240" s="7"/>
      <c r="Q240" s="7"/>
      <c r="R240" s="7"/>
      <c r="S240" s="4"/>
    </row>
    <row r="241" spans="1:19" hidden="1" outlineLevel="1">
      <c r="A241" s="4"/>
      <c r="B241" s="4"/>
      <c r="C241" s="7"/>
      <c r="D241" s="126" t="s">
        <v>1470</v>
      </c>
      <c r="E241" s="7"/>
      <c r="F241" s="7"/>
      <c r="G241" s="7"/>
      <c r="H241" s="7"/>
      <c r="I241" s="7"/>
      <c r="J241" s="7"/>
      <c r="K241" s="7"/>
      <c r="L241" s="7"/>
      <c r="M241" s="7"/>
      <c r="N241" s="7"/>
      <c r="O241" s="7"/>
      <c r="P241" s="7"/>
      <c r="Q241" s="7"/>
      <c r="R241" s="7"/>
      <c r="S241" s="4"/>
    </row>
    <row r="242" spans="1:19" hidden="1" outlineLevel="1">
      <c r="A242" s="4"/>
      <c r="B242" s="4"/>
      <c r="C242" s="7"/>
      <c r="D242" s="127" t="s">
        <v>1447</v>
      </c>
      <c r="E242" s="7"/>
      <c r="F242" s="7"/>
      <c r="G242" s="7"/>
      <c r="H242" s="7"/>
      <c r="I242" s="7"/>
      <c r="J242" s="7"/>
      <c r="K242" s="7"/>
      <c r="L242" s="7"/>
      <c r="M242" s="7"/>
      <c r="N242" s="7"/>
      <c r="O242" s="7"/>
      <c r="P242" s="7"/>
      <c r="Q242" s="7"/>
      <c r="R242" s="7"/>
      <c r="S242" s="4"/>
    </row>
    <row r="243" spans="1:19" hidden="1" outlineLevel="1">
      <c r="A243" s="4"/>
      <c r="B243" s="4"/>
      <c r="C243" s="7"/>
      <c r="D243" s="7"/>
      <c r="E243" s="7"/>
      <c r="F243" s="7"/>
      <c r="G243" s="7"/>
      <c r="H243" s="7"/>
      <c r="I243" s="7"/>
      <c r="J243" s="7"/>
      <c r="K243" s="7"/>
      <c r="L243" s="7"/>
      <c r="M243" s="7"/>
      <c r="N243" s="7"/>
      <c r="O243" s="7"/>
      <c r="P243" s="7"/>
      <c r="Q243" s="7"/>
      <c r="R243" s="7"/>
      <c r="S243" s="4"/>
    </row>
    <row r="244" spans="1:19" ht="29.1" hidden="1" outlineLevel="1">
      <c r="A244" s="4"/>
      <c r="B244" s="4"/>
      <c r="C244" s="7"/>
      <c r="D244" s="704" t="s">
        <v>1471</v>
      </c>
      <c r="E244" s="16" t="s">
        <v>1345</v>
      </c>
      <c r="F244" s="116" t="s">
        <v>1472</v>
      </c>
      <c r="G244" s="116" t="s">
        <v>1473</v>
      </c>
      <c r="H244" s="116" t="s">
        <v>1474</v>
      </c>
      <c r="I244" s="116" t="s">
        <v>1475</v>
      </c>
      <c r="J244" s="116" t="s">
        <v>1476</v>
      </c>
      <c r="K244" s="116" t="s">
        <v>1477</v>
      </c>
      <c r="L244" s="116" t="s">
        <v>1478</v>
      </c>
      <c r="M244" s="116" t="s">
        <v>1479</v>
      </c>
      <c r="N244" s="116" t="s">
        <v>1480</v>
      </c>
      <c r="O244" s="116" t="s">
        <v>1481</v>
      </c>
      <c r="P244" s="116" t="s">
        <v>1482</v>
      </c>
      <c r="Q244" s="116" t="s">
        <v>1483</v>
      </c>
      <c r="R244" s="7"/>
      <c r="S244" s="4"/>
    </row>
    <row r="245" spans="1:19" hidden="1" outlineLevel="1">
      <c r="A245" s="4"/>
      <c r="B245" s="4"/>
      <c r="C245" s="7"/>
      <c r="D245" s="705"/>
      <c r="E245" s="16" t="s">
        <v>1484</v>
      </c>
      <c r="F245" s="312">
        <f t="shared" ref="F245:Q245" si="30">F260</f>
        <v>6705.63</v>
      </c>
      <c r="G245" s="312">
        <f t="shared" si="30"/>
        <v>0</v>
      </c>
      <c r="H245" s="312">
        <f t="shared" si="30"/>
        <v>0</v>
      </c>
      <c r="I245" s="312">
        <f t="shared" si="30"/>
        <v>0</v>
      </c>
      <c r="J245" s="312">
        <f t="shared" si="30"/>
        <v>0</v>
      </c>
      <c r="K245" s="312">
        <f t="shared" si="30"/>
        <v>0</v>
      </c>
      <c r="L245" s="312">
        <f t="shared" si="30"/>
        <v>0</v>
      </c>
      <c r="M245" s="312">
        <f t="shared" si="30"/>
        <v>0</v>
      </c>
      <c r="N245" s="312">
        <f t="shared" si="30"/>
        <v>0</v>
      </c>
      <c r="O245" s="312">
        <f t="shared" si="30"/>
        <v>0</v>
      </c>
      <c r="P245" s="312">
        <f t="shared" si="30"/>
        <v>150</v>
      </c>
      <c r="Q245" s="312">
        <f t="shared" si="30"/>
        <v>6855.63</v>
      </c>
      <c r="R245" s="7"/>
      <c r="S245" s="4"/>
    </row>
    <row r="246" spans="1:19" hidden="1" outlineLevel="1">
      <c r="A246" s="4"/>
      <c r="B246" s="4"/>
      <c r="C246" s="7"/>
      <c r="D246" s="705"/>
      <c r="E246" s="16" t="s">
        <v>199</v>
      </c>
      <c r="F246" s="312">
        <f t="shared" ref="F246:Q246" si="31">F275</f>
        <v>9805.5400000000009</v>
      </c>
      <c r="G246" s="312">
        <f t="shared" si="31"/>
        <v>0</v>
      </c>
      <c r="H246" s="312">
        <f t="shared" si="31"/>
        <v>0</v>
      </c>
      <c r="I246" s="312">
        <f t="shared" si="31"/>
        <v>0</v>
      </c>
      <c r="J246" s="312">
        <f t="shared" si="31"/>
        <v>0</v>
      </c>
      <c r="K246" s="312">
        <f t="shared" si="31"/>
        <v>0</v>
      </c>
      <c r="L246" s="312">
        <f t="shared" si="31"/>
        <v>0</v>
      </c>
      <c r="M246" s="312">
        <f t="shared" si="31"/>
        <v>0</v>
      </c>
      <c r="N246" s="312">
        <f t="shared" si="31"/>
        <v>20</v>
      </c>
      <c r="O246" s="312">
        <f t="shared" si="31"/>
        <v>0</v>
      </c>
      <c r="P246" s="312">
        <f t="shared" si="31"/>
        <v>150</v>
      </c>
      <c r="Q246" s="312">
        <f t="shared" si="31"/>
        <v>9975.5400000000009</v>
      </c>
      <c r="R246" s="7"/>
      <c r="S246" s="4"/>
    </row>
    <row r="247" spans="1:19" hidden="1" outlineLevel="1">
      <c r="A247" s="4"/>
      <c r="B247" s="4"/>
      <c r="C247" s="7"/>
      <c r="D247" s="706"/>
      <c r="E247" s="16" t="s">
        <v>1485</v>
      </c>
      <c r="F247" s="312">
        <f>F246-F245</f>
        <v>3099.9100000000008</v>
      </c>
      <c r="G247" s="312">
        <f t="shared" ref="G247:Q247" si="32">G246-G245</f>
        <v>0</v>
      </c>
      <c r="H247" s="312">
        <f t="shared" si="32"/>
        <v>0</v>
      </c>
      <c r="I247" s="312">
        <f t="shared" si="32"/>
        <v>0</v>
      </c>
      <c r="J247" s="312">
        <f t="shared" si="32"/>
        <v>0</v>
      </c>
      <c r="K247" s="312">
        <f t="shared" si="32"/>
        <v>0</v>
      </c>
      <c r="L247" s="312">
        <f t="shared" si="32"/>
        <v>0</v>
      </c>
      <c r="M247" s="312">
        <f t="shared" si="32"/>
        <v>0</v>
      </c>
      <c r="N247" s="312">
        <f t="shared" si="32"/>
        <v>20</v>
      </c>
      <c r="O247" s="312">
        <f t="shared" si="32"/>
        <v>0</v>
      </c>
      <c r="P247" s="312">
        <f t="shared" si="32"/>
        <v>0</v>
      </c>
      <c r="Q247" s="312">
        <f t="shared" si="32"/>
        <v>3119.9100000000008</v>
      </c>
      <c r="R247" s="7"/>
      <c r="S247" s="4"/>
    </row>
    <row r="248" spans="1:19" hidden="1" outlineLevel="1">
      <c r="A248" s="4"/>
      <c r="B248" s="4"/>
      <c r="C248" s="7"/>
      <c r="D248" s="7"/>
      <c r="E248" s="7"/>
      <c r="F248" s="7"/>
      <c r="G248" s="7"/>
      <c r="H248" s="7"/>
      <c r="I248" s="7"/>
      <c r="J248" s="7"/>
      <c r="K248" s="7"/>
      <c r="L248" s="7"/>
      <c r="M248" s="7"/>
      <c r="N248" s="7"/>
      <c r="O248" s="7"/>
      <c r="P248" s="7"/>
      <c r="Q248" s="7"/>
      <c r="R248" s="7"/>
      <c r="S248" s="4"/>
    </row>
    <row r="249" spans="1:19" collapsed="1">
      <c r="A249" s="4"/>
      <c r="B249" s="4"/>
      <c r="C249" s="4"/>
      <c r="D249" s="4"/>
      <c r="E249" s="4"/>
      <c r="F249" s="4"/>
      <c r="G249" s="4"/>
      <c r="H249" s="4"/>
      <c r="I249" s="4"/>
      <c r="J249" s="4"/>
      <c r="K249" s="4"/>
      <c r="L249" s="4"/>
      <c r="M249" s="4"/>
      <c r="N249" s="4"/>
      <c r="O249" s="4"/>
      <c r="P249" s="4"/>
      <c r="Q249" s="4"/>
      <c r="R249" s="4"/>
      <c r="S249" s="4"/>
    </row>
    <row r="250" spans="1:19" ht="18.600000000000001">
      <c r="A250" s="102"/>
      <c r="B250" s="102"/>
      <c r="C250" s="562" t="s">
        <v>1502</v>
      </c>
      <c r="D250" s="102"/>
      <c r="E250" s="102"/>
      <c r="F250" s="102"/>
      <c r="G250" s="102"/>
      <c r="H250" s="102"/>
      <c r="I250" s="102"/>
      <c r="J250" s="102"/>
      <c r="K250" s="102"/>
      <c r="L250" s="102"/>
      <c r="M250" s="102"/>
      <c r="N250" s="102"/>
      <c r="O250" s="102"/>
      <c r="P250" s="102"/>
      <c r="Q250" s="102"/>
      <c r="R250" s="102"/>
      <c r="S250" s="4"/>
    </row>
    <row r="251" spans="1:19" hidden="1" outlineLevel="1">
      <c r="A251" s="4"/>
      <c r="B251" s="4"/>
      <c r="C251" s="4"/>
      <c r="D251" s="4"/>
      <c r="E251" s="4"/>
      <c r="F251" s="4"/>
      <c r="G251" s="4"/>
      <c r="H251" s="4"/>
      <c r="I251" s="4"/>
      <c r="J251" s="4"/>
      <c r="K251" s="4"/>
      <c r="L251" s="4"/>
      <c r="M251" s="4"/>
      <c r="N251" s="4"/>
      <c r="O251" s="4"/>
      <c r="P251" s="4"/>
      <c r="Q251" s="4"/>
      <c r="R251" s="4"/>
      <c r="S251" s="4"/>
    </row>
    <row r="252" spans="1:19" hidden="1" outlineLevel="1">
      <c r="A252" s="4"/>
      <c r="B252" s="4"/>
      <c r="C252" s="7"/>
      <c r="D252" s="7"/>
      <c r="E252" s="7"/>
      <c r="F252" s="7"/>
      <c r="G252" s="7"/>
      <c r="H252" s="7"/>
      <c r="I252" s="7"/>
      <c r="J252" s="7"/>
      <c r="K252" s="7"/>
      <c r="L252" s="7"/>
      <c r="M252" s="7"/>
      <c r="N252" s="7"/>
      <c r="O252" s="7"/>
      <c r="P252" s="7"/>
      <c r="Q252" s="7"/>
      <c r="R252" s="7"/>
      <c r="S252" s="4"/>
    </row>
    <row r="253" spans="1:19" ht="29.1" hidden="1" outlineLevel="1">
      <c r="A253" s="4"/>
      <c r="B253" s="4"/>
      <c r="C253" s="7"/>
      <c r="D253" s="116" t="s">
        <v>1361</v>
      </c>
      <c r="E253" s="116" t="s">
        <v>1487</v>
      </c>
      <c r="F253" s="116" t="s">
        <v>1472</v>
      </c>
      <c r="G253" s="116" t="s">
        <v>1473</v>
      </c>
      <c r="H253" s="116" t="s">
        <v>1474</v>
      </c>
      <c r="I253" s="116" t="s">
        <v>1475</v>
      </c>
      <c r="J253" s="116" t="s">
        <v>1476</v>
      </c>
      <c r="K253" s="116" t="s">
        <v>1477</v>
      </c>
      <c r="L253" s="116" t="s">
        <v>1478</v>
      </c>
      <c r="M253" s="116" t="s">
        <v>1479</v>
      </c>
      <c r="N253" s="116" t="s">
        <v>1480</v>
      </c>
      <c r="O253" s="116" t="s">
        <v>1481</v>
      </c>
      <c r="P253" s="116" t="s">
        <v>1482</v>
      </c>
      <c r="Q253" s="116" t="s">
        <v>1483</v>
      </c>
      <c r="R253" s="148"/>
      <c r="S253" s="4"/>
    </row>
    <row r="254" spans="1:19" hidden="1" outlineLevel="1">
      <c r="A254" s="4"/>
      <c r="B254" s="4"/>
      <c r="C254" s="7"/>
      <c r="D254" s="116" t="s">
        <v>1167</v>
      </c>
      <c r="E254" s="118" t="s">
        <v>1181</v>
      </c>
      <c r="F254" s="110">
        <v>135</v>
      </c>
      <c r="G254" s="110">
        <v>0</v>
      </c>
      <c r="H254" s="110">
        <v>0</v>
      </c>
      <c r="I254" s="110">
        <v>0</v>
      </c>
      <c r="J254" s="110">
        <v>0</v>
      </c>
      <c r="K254" s="110">
        <v>0</v>
      </c>
      <c r="L254" s="110">
        <v>0</v>
      </c>
      <c r="M254" s="110">
        <v>0</v>
      </c>
      <c r="N254" s="110">
        <v>0</v>
      </c>
      <c r="O254" s="110">
        <v>0</v>
      </c>
      <c r="P254" s="110">
        <v>25</v>
      </c>
      <c r="Q254" s="110">
        <f>SUM(Table47984101[[#This Row],[Consumption (USD)]:[Vendor Support (USD)]])</f>
        <v>160</v>
      </c>
      <c r="R254" s="157"/>
      <c r="S254" s="4"/>
    </row>
    <row r="255" spans="1:19" hidden="1" outlineLevel="1">
      <c r="A255" s="4"/>
      <c r="B255" s="4"/>
      <c r="C255" s="7"/>
      <c r="D255" s="116" t="s">
        <v>1168</v>
      </c>
      <c r="E255" s="118" t="s">
        <v>1182</v>
      </c>
      <c r="F255" s="110">
        <v>100</v>
      </c>
      <c r="G255" s="110">
        <v>0</v>
      </c>
      <c r="H255" s="110">
        <v>0</v>
      </c>
      <c r="I255" s="110">
        <v>0</v>
      </c>
      <c r="J255" s="110">
        <v>0</v>
      </c>
      <c r="K255" s="115">
        <v>0</v>
      </c>
      <c r="L255" s="115">
        <v>0</v>
      </c>
      <c r="M255" s="115">
        <v>0</v>
      </c>
      <c r="N255" s="115">
        <v>0</v>
      </c>
      <c r="O255" s="115">
        <v>0</v>
      </c>
      <c r="P255" s="115">
        <v>25</v>
      </c>
      <c r="Q255" s="110">
        <f>SUM(Table47984101[[#This Row],[Consumption (USD)]:[Vendor Support (USD)]])</f>
        <v>125</v>
      </c>
      <c r="R255" s="157"/>
      <c r="S255" s="4"/>
    </row>
    <row r="256" spans="1:19" hidden="1" outlineLevel="1">
      <c r="A256" s="4"/>
      <c r="B256" s="4"/>
      <c r="C256" s="7"/>
      <c r="D256" s="116" t="s">
        <v>975</v>
      </c>
      <c r="E256" s="118" t="s">
        <v>1183</v>
      </c>
      <c r="F256" s="115">
        <v>2592.5</v>
      </c>
      <c r="G256" s="110">
        <v>0</v>
      </c>
      <c r="H256" s="110">
        <v>0</v>
      </c>
      <c r="I256" s="110">
        <v>0</v>
      </c>
      <c r="J256" s="110">
        <v>0</v>
      </c>
      <c r="K256" s="115">
        <v>0</v>
      </c>
      <c r="L256" s="115">
        <v>0</v>
      </c>
      <c r="M256" s="115">
        <v>0</v>
      </c>
      <c r="N256" s="115">
        <v>0</v>
      </c>
      <c r="O256" s="115">
        <v>0</v>
      </c>
      <c r="P256" s="115">
        <v>25</v>
      </c>
      <c r="Q256" s="110">
        <f>SUM(Table47984101[[#This Row],[Consumption (USD)]:[Vendor Support (USD)]])</f>
        <v>2617.5</v>
      </c>
      <c r="R256" s="157"/>
      <c r="S256" s="4"/>
    </row>
    <row r="257" spans="1:19" hidden="1" outlineLevel="1">
      <c r="A257" s="4"/>
      <c r="B257" s="4"/>
      <c r="C257" s="7"/>
      <c r="D257" s="116" t="s">
        <v>981</v>
      </c>
      <c r="E257" s="118" t="s">
        <v>1184</v>
      </c>
      <c r="F257" s="115">
        <v>2708.3</v>
      </c>
      <c r="G257" s="110">
        <v>0</v>
      </c>
      <c r="H257" s="110">
        <v>0</v>
      </c>
      <c r="I257" s="110">
        <v>0</v>
      </c>
      <c r="J257" s="110">
        <v>0</v>
      </c>
      <c r="K257" s="115">
        <v>0</v>
      </c>
      <c r="L257" s="115">
        <v>0</v>
      </c>
      <c r="M257" s="115">
        <v>0</v>
      </c>
      <c r="N257" s="115">
        <v>0</v>
      </c>
      <c r="O257" s="115">
        <v>0</v>
      </c>
      <c r="P257" s="115">
        <v>25</v>
      </c>
      <c r="Q257" s="110">
        <f>SUM(Table47984101[[#This Row],[Consumption (USD)]:[Vendor Support (USD)]])</f>
        <v>2733.3</v>
      </c>
      <c r="R257" s="157"/>
      <c r="S257" s="4"/>
    </row>
    <row r="258" spans="1:19" hidden="1" outlineLevel="1">
      <c r="A258" s="4"/>
      <c r="B258" s="4"/>
      <c r="C258" s="7"/>
      <c r="D258" s="116" t="s">
        <v>979</v>
      </c>
      <c r="E258" s="118" t="s">
        <v>1184</v>
      </c>
      <c r="F258" s="115">
        <v>166.08</v>
      </c>
      <c r="G258" s="110">
        <v>0</v>
      </c>
      <c r="H258" s="110">
        <v>0</v>
      </c>
      <c r="I258" s="110">
        <v>0</v>
      </c>
      <c r="J258" s="110">
        <v>0</v>
      </c>
      <c r="K258" s="115">
        <v>0</v>
      </c>
      <c r="L258" s="115">
        <v>0</v>
      </c>
      <c r="M258" s="115">
        <v>0</v>
      </c>
      <c r="N258" s="115">
        <v>0</v>
      </c>
      <c r="O258" s="115">
        <v>0</v>
      </c>
      <c r="P258" s="115">
        <v>25</v>
      </c>
      <c r="Q258" s="110">
        <f>SUM(Table47984101[[#This Row],[Consumption (USD)]:[Vendor Support (USD)]])</f>
        <v>191.08</v>
      </c>
      <c r="R258" s="157"/>
      <c r="S258" s="4"/>
    </row>
    <row r="259" spans="1:19" hidden="1" outlineLevel="1">
      <c r="A259" s="4"/>
      <c r="B259" s="4"/>
      <c r="C259" s="7"/>
      <c r="D259" s="116" t="s">
        <v>982</v>
      </c>
      <c r="E259" s="118" t="s">
        <v>1488</v>
      </c>
      <c r="F259" s="115">
        <v>1003.75</v>
      </c>
      <c r="G259" s="110">
        <v>0</v>
      </c>
      <c r="H259" s="110">
        <v>0</v>
      </c>
      <c r="I259" s="110">
        <v>0</v>
      </c>
      <c r="J259" s="110">
        <v>0</v>
      </c>
      <c r="K259" s="115">
        <v>0</v>
      </c>
      <c r="L259" s="115">
        <v>0</v>
      </c>
      <c r="M259" s="115">
        <v>0</v>
      </c>
      <c r="N259" s="115">
        <v>0</v>
      </c>
      <c r="O259" s="115">
        <v>0</v>
      </c>
      <c r="P259" s="115">
        <v>25</v>
      </c>
      <c r="Q259" s="110">
        <f>SUM(Table47984101[[#This Row],[Consumption (USD)]:[Vendor Support (USD)]])</f>
        <v>1028.75</v>
      </c>
      <c r="R259" s="157"/>
      <c r="S259" s="4"/>
    </row>
    <row r="260" spans="1:19" hidden="1" outlineLevel="1">
      <c r="A260" s="4"/>
      <c r="B260" s="4"/>
      <c r="C260" s="7"/>
      <c r="D260" s="118"/>
      <c r="E260" s="118"/>
      <c r="F260" s="115">
        <f t="shared" ref="F260:P260" si="33">SUM(F254:F259)</f>
        <v>6705.63</v>
      </c>
      <c r="G260" s="115">
        <f t="shared" si="33"/>
        <v>0</v>
      </c>
      <c r="H260" s="115">
        <f t="shared" si="33"/>
        <v>0</v>
      </c>
      <c r="I260" s="115">
        <f t="shared" si="33"/>
        <v>0</v>
      </c>
      <c r="J260" s="115">
        <f t="shared" si="33"/>
        <v>0</v>
      </c>
      <c r="K260" s="115">
        <f t="shared" si="33"/>
        <v>0</v>
      </c>
      <c r="L260" s="115">
        <f t="shared" si="33"/>
        <v>0</v>
      </c>
      <c r="M260" s="115">
        <f t="shared" si="33"/>
        <v>0</v>
      </c>
      <c r="N260" s="115">
        <f t="shared" si="33"/>
        <v>0</v>
      </c>
      <c r="O260" s="115">
        <f t="shared" si="33"/>
        <v>0</v>
      </c>
      <c r="P260" s="115">
        <f t="shared" si="33"/>
        <v>150</v>
      </c>
      <c r="Q260" s="110">
        <f>SUM(Table47984101[[#This Row],[Consumption (USD)]:[Vendor Support (USD)]])</f>
        <v>6855.63</v>
      </c>
      <c r="R260" s="158"/>
      <c r="S260" s="4"/>
    </row>
    <row r="261" spans="1:19" hidden="1" outlineLevel="1">
      <c r="A261" s="4"/>
      <c r="B261" s="4"/>
      <c r="C261" s="7"/>
      <c r="D261" s="146"/>
      <c r="E261" s="146"/>
      <c r="F261" s="146"/>
      <c r="G261" s="146"/>
      <c r="H261" s="146"/>
      <c r="I261" s="147"/>
      <c r="J261" s="148"/>
      <c r="K261" s="148"/>
      <c r="L261" s="148"/>
      <c r="M261" s="148"/>
      <c r="N261" s="149"/>
      <c r="O261" s="148"/>
      <c r="P261" s="149"/>
      <c r="Q261" s="150"/>
      <c r="R261" s="150"/>
      <c r="S261" s="155"/>
    </row>
    <row r="262" spans="1:19" collapsed="1">
      <c r="A262" s="4"/>
      <c r="B262" s="4"/>
      <c r="C262" s="4"/>
      <c r="D262" s="151"/>
      <c r="E262" s="151"/>
      <c r="F262" s="151"/>
      <c r="G262" s="151"/>
      <c r="H262" s="151"/>
      <c r="I262" s="152"/>
      <c r="J262" s="153"/>
      <c r="K262" s="153"/>
      <c r="L262" s="153"/>
      <c r="M262" s="153"/>
      <c r="N262" s="154"/>
      <c r="O262" s="153"/>
      <c r="P262" s="154"/>
      <c r="Q262" s="155"/>
      <c r="R262" s="155"/>
      <c r="S262" s="155"/>
    </row>
    <row r="263" spans="1:19" ht="18.600000000000001">
      <c r="A263" s="102"/>
      <c r="B263" s="102"/>
      <c r="C263" s="562" t="s">
        <v>1461</v>
      </c>
      <c r="D263" s="102"/>
      <c r="E263" s="102"/>
      <c r="F263" s="102"/>
      <c r="G263" s="102"/>
      <c r="H263" s="102"/>
      <c r="I263" s="102"/>
      <c r="J263" s="102"/>
      <c r="K263" s="102"/>
      <c r="L263" s="102"/>
      <c r="M263" s="102"/>
      <c r="N263" s="102"/>
      <c r="O263" s="102"/>
      <c r="P263" s="102"/>
      <c r="Q263" s="102"/>
      <c r="R263" s="102"/>
      <c r="S263" s="4"/>
    </row>
    <row r="264" spans="1:19" hidden="1" outlineLevel="1">
      <c r="A264" s="4"/>
      <c r="B264" s="4"/>
      <c r="C264" s="4"/>
      <c r="D264" s="4"/>
      <c r="E264" s="4"/>
      <c r="F264" s="4"/>
      <c r="G264" s="4"/>
      <c r="H264" s="4"/>
      <c r="I264" s="4"/>
      <c r="J264" s="4"/>
      <c r="K264" s="4"/>
      <c r="L264" s="4"/>
      <c r="M264" s="4"/>
      <c r="N264" s="4"/>
      <c r="O264" s="4"/>
      <c r="P264" s="4"/>
      <c r="Q264" s="4"/>
      <c r="R264" s="4"/>
      <c r="S264" s="4"/>
    </row>
    <row r="265" spans="1:19" hidden="1" outlineLevel="1">
      <c r="A265" s="4"/>
      <c r="B265" s="4"/>
      <c r="C265" s="7"/>
      <c r="D265" s="7"/>
      <c r="E265" s="7"/>
      <c r="F265" s="7"/>
      <c r="G265" s="7"/>
      <c r="H265" s="7"/>
      <c r="I265" s="7"/>
      <c r="J265" s="7"/>
      <c r="K265" s="7"/>
      <c r="L265" s="7"/>
      <c r="M265" s="7"/>
      <c r="N265" s="7"/>
      <c r="O265" s="7"/>
      <c r="P265" s="7"/>
      <c r="Q265" s="7"/>
      <c r="R265" s="7"/>
      <c r="S265" s="4"/>
    </row>
    <row r="266" spans="1:19" ht="29.1" hidden="1" outlineLevel="1">
      <c r="A266" s="4"/>
      <c r="B266" s="4"/>
      <c r="C266" s="7"/>
      <c r="D266" s="116" t="s">
        <v>1361</v>
      </c>
      <c r="E266" s="116" t="s">
        <v>1487</v>
      </c>
      <c r="F266" s="116" t="s">
        <v>1472</v>
      </c>
      <c r="G266" s="116" t="s">
        <v>1473</v>
      </c>
      <c r="H266" s="116" t="s">
        <v>1474</v>
      </c>
      <c r="I266" s="116" t="s">
        <v>1475</v>
      </c>
      <c r="J266" s="116" t="s">
        <v>1476</v>
      </c>
      <c r="K266" s="116" t="s">
        <v>1477</v>
      </c>
      <c r="L266" s="116" t="s">
        <v>1478</v>
      </c>
      <c r="M266" s="116" t="s">
        <v>1479</v>
      </c>
      <c r="N266" s="116" t="s">
        <v>1480</v>
      </c>
      <c r="O266" s="116" t="s">
        <v>1481</v>
      </c>
      <c r="P266" s="116" t="s">
        <v>1482</v>
      </c>
      <c r="Q266" s="116" t="s">
        <v>1483</v>
      </c>
      <c r="R266" s="148"/>
      <c r="S266" s="4"/>
    </row>
    <row r="267" spans="1:19" hidden="1" outlineLevel="1">
      <c r="A267" s="4"/>
      <c r="B267" s="4"/>
      <c r="C267" s="7"/>
      <c r="D267" s="116" t="s">
        <v>1167</v>
      </c>
      <c r="E267" s="116" t="s">
        <v>1181</v>
      </c>
      <c r="F267" s="110">
        <v>135</v>
      </c>
      <c r="G267" s="110">
        <v>0</v>
      </c>
      <c r="H267" s="110">
        <v>0</v>
      </c>
      <c r="I267" s="110">
        <v>0</v>
      </c>
      <c r="J267" s="110">
        <v>0</v>
      </c>
      <c r="K267" s="110">
        <v>0</v>
      </c>
      <c r="L267" s="110">
        <v>0</v>
      </c>
      <c r="M267" s="110">
        <v>0</v>
      </c>
      <c r="N267" s="110">
        <v>0</v>
      </c>
      <c r="O267" s="110">
        <v>0</v>
      </c>
      <c r="P267" s="110">
        <v>25</v>
      </c>
      <c r="Q267" s="110">
        <f>SUM(F267:P267)</f>
        <v>160</v>
      </c>
      <c r="R267" s="157"/>
      <c r="S267" s="4"/>
    </row>
    <row r="268" spans="1:19" hidden="1" outlineLevel="1">
      <c r="A268" s="4"/>
      <c r="B268" s="4"/>
      <c r="C268" s="7"/>
      <c r="D268" s="116" t="s">
        <v>1168</v>
      </c>
      <c r="E268" s="116" t="s">
        <v>1182</v>
      </c>
      <c r="F268" s="110">
        <v>100</v>
      </c>
      <c r="G268" s="110">
        <v>0</v>
      </c>
      <c r="H268" s="110">
        <v>0</v>
      </c>
      <c r="I268" s="110">
        <v>0</v>
      </c>
      <c r="J268" s="110">
        <v>0</v>
      </c>
      <c r="K268" s="110">
        <v>0</v>
      </c>
      <c r="L268" s="110">
        <v>0</v>
      </c>
      <c r="M268" s="110">
        <v>0</v>
      </c>
      <c r="N268" s="110">
        <v>0</v>
      </c>
      <c r="O268" s="110">
        <v>0</v>
      </c>
      <c r="P268" s="110">
        <v>25</v>
      </c>
      <c r="Q268" s="110">
        <f t="shared" ref="Q268:Q275" si="34">SUM(F268:P268)</f>
        <v>125</v>
      </c>
      <c r="R268" s="157"/>
      <c r="S268" s="4"/>
    </row>
    <row r="269" spans="1:19" hidden="1" outlineLevel="1">
      <c r="A269" s="4"/>
      <c r="B269" s="4"/>
      <c r="C269" s="7"/>
      <c r="D269" s="116" t="s">
        <v>978</v>
      </c>
      <c r="E269" s="116" t="s">
        <v>1184</v>
      </c>
      <c r="F269" s="110">
        <v>341.33</v>
      </c>
      <c r="G269" s="110">
        <v>0</v>
      </c>
      <c r="H269" s="110">
        <v>0</v>
      </c>
      <c r="I269" s="110">
        <v>0</v>
      </c>
      <c r="J269" s="110">
        <v>0</v>
      </c>
      <c r="K269" s="110">
        <v>0</v>
      </c>
      <c r="L269" s="110">
        <v>0</v>
      </c>
      <c r="M269" s="110">
        <v>0</v>
      </c>
      <c r="N269" s="110">
        <v>0</v>
      </c>
      <c r="O269" s="110">
        <v>0</v>
      </c>
      <c r="P269" s="110">
        <v>0</v>
      </c>
      <c r="Q269" s="110">
        <f t="shared" si="34"/>
        <v>341.33</v>
      </c>
      <c r="R269" s="157"/>
      <c r="S269" s="4"/>
    </row>
    <row r="270" spans="1:19" hidden="1" outlineLevel="1">
      <c r="A270" s="4"/>
      <c r="B270" s="4"/>
      <c r="C270" s="7"/>
      <c r="D270" s="116" t="s">
        <v>1492</v>
      </c>
      <c r="E270" s="116" t="s">
        <v>1395</v>
      </c>
      <c r="F270" s="110">
        <v>0</v>
      </c>
      <c r="G270" s="110">
        <v>0</v>
      </c>
      <c r="H270" s="110">
        <v>0</v>
      </c>
      <c r="I270" s="110">
        <v>0</v>
      </c>
      <c r="J270" s="110">
        <v>0</v>
      </c>
      <c r="K270" s="110">
        <v>0</v>
      </c>
      <c r="L270" s="110">
        <v>0</v>
      </c>
      <c r="M270" s="110">
        <v>0</v>
      </c>
      <c r="N270" s="110">
        <v>0</v>
      </c>
      <c r="O270" s="110">
        <v>0</v>
      </c>
      <c r="P270" s="110">
        <v>0</v>
      </c>
      <c r="Q270" s="110">
        <f t="shared" si="34"/>
        <v>0</v>
      </c>
      <c r="R270" s="157"/>
      <c r="S270" s="4"/>
    </row>
    <row r="271" spans="1:19" hidden="1" outlineLevel="1">
      <c r="A271" s="4"/>
      <c r="B271" s="4"/>
      <c r="C271" s="7"/>
      <c r="D271" s="116" t="s">
        <v>975</v>
      </c>
      <c r="E271" s="116" t="s">
        <v>1183</v>
      </c>
      <c r="F271" s="110">
        <f>2592.5*2</f>
        <v>5185</v>
      </c>
      <c r="G271" s="110">
        <v>0</v>
      </c>
      <c r="H271" s="110">
        <v>0</v>
      </c>
      <c r="I271" s="110">
        <v>0</v>
      </c>
      <c r="J271" s="110">
        <v>0</v>
      </c>
      <c r="K271" s="110">
        <v>0</v>
      </c>
      <c r="L271" s="110">
        <v>0</v>
      </c>
      <c r="M271" s="110">
        <v>0</v>
      </c>
      <c r="N271" s="110">
        <v>10</v>
      </c>
      <c r="O271" s="110">
        <v>0</v>
      </c>
      <c r="P271" s="110">
        <v>25</v>
      </c>
      <c r="Q271" s="110">
        <f t="shared" si="34"/>
        <v>5220</v>
      </c>
      <c r="R271" s="157"/>
      <c r="S271" s="4"/>
    </row>
    <row r="272" spans="1:19" hidden="1" outlineLevel="1">
      <c r="A272" s="4"/>
      <c r="B272" s="4"/>
      <c r="C272" s="7"/>
      <c r="D272" s="116" t="s">
        <v>981</v>
      </c>
      <c r="E272" s="116" t="s">
        <v>1184</v>
      </c>
      <c r="F272" s="110">
        <v>2708.3</v>
      </c>
      <c r="G272" s="110">
        <v>0</v>
      </c>
      <c r="H272" s="110">
        <v>0</v>
      </c>
      <c r="I272" s="110">
        <v>0</v>
      </c>
      <c r="J272" s="110">
        <v>0</v>
      </c>
      <c r="K272" s="110">
        <v>0</v>
      </c>
      <c r="L272" s="110">
        <v>0</v>
      </c>
      <c r="M272" s="110">
        <v>0</v>
      </c>
      <c r="N272" s="110">
        <v>0</v>
      </c>
      <c r="O272" s="110">
        <v>0</v>
      </c>
      <c r="P272" s="110">
        <v>25</v>
      </c>
      <c r="Q272" s="110">
        <f t="shared" si="34"/>
        <v>2733.3</v>
      </c>
      <c r="R272" s="157"/>
      <c r="S272" s="4"/>
    </row>
    <row r="273" spans="1:19" hidden="1" outlineLevel="1">
      <c r="A273" s="4"/>
      <c r="B273" s="4"/>
      <c r="C273" s="7"/>
      <c r="D273" s="116" t="s">
        <v>979</v>
      </c>
      <c r="E273" s="116" t="s">
        <v>1184</v>
      </c>
      <c r="F273" s="110">
        <f>166.08*2</f>
        <v>332.16</v>
      </c>
      <c r="G273" s="110">
        <v>0</v>
      </c>
      <c r="H273" s="110">
        <v>0</v>
      </c>
      <c r="I273" s="110">
        <v>0</v>
      </c>
      <c r="J273" s="110">
        <v>0</v>
      </c>
      <c r="K273" s="110">
        <v>0</v>
      </c>
      <c r="L273" s="110">
        <v>0</v>
      </c>
      <c r="M273" s="110">
        <v>0</v>
      </c>
      <c r="N273" s="110">
        <v>0</v>
      </c>
      <c r="O273" s="110">
        <v>0</v>
      </c>
      <c r="P273" s="110">
        <v>25</v>
      </c>
      <c r="Q273" s="110">
        <f t="shared" si="34"/>
        <v>357.16</v>
      </c>
      <c r="R273" s="157"/>
      <c r="S273" s="4"/>
    </row>
    <row r="274" spans="1:19" hidden="1" outlineLevel="1">
      <c r="A274" s="4"/>
      <c r="B274" s="4"/>
      <c r="C274" s="7"/>
      <c r="D274" s="116" t="s">
        <v>982</v>
      </c>
      <c r="E274" s="116" t="s">
        <v>1488</v>
      </c>
      <c r="F274" s="110">
        <v>1003.75</v>
      </c>
      <c r="G274" s="110">
        <v>0</v>
      </c>
      <c r="H274" s="110">
        <v>0</v>
      </c>
      <c r="I274" s="110">
        <v>0</v>
      </c>
      <c r="J274" s="110">
        <v>0</v>
      </c>
      <c r="K274" s="110">
        <v>0</v>
      </c>
      <c r="L274" s="110">
        <v>0</v>
      </c>
      <c r="M274" s="110">
        <v>0</v>
      </c>
      <c r="N274" s="110">
        <v>10</v>
      </c>
      <c r="O274" s="110">
        <v>0</v>
      </c>
      <c r="P274" s="110">
        <v>25</v>
      </c>
      <c r="Q274" s="110">
        <f t="shared" si="34"/>
        <v>1038.75</v>
      </c>
      <c r="R274" s="157"/>
      <c r="S274" s="4"/>
    </row>
    <row r="275" spans="1:19" hidden="1" outlineLevel="1">
      <c r="A275" s="4"/>
      <c r="B275" s="4"/>
      <c r="C275" s="7"/>
      <c r="D275" s="116"/>
      <c r="E275" s="116"/>
      <c r="F275" s="110">
        <f t="shared" ref="F275:P275" si="35">SUM(F267:F274)</f>
        <v>9805.5400000000009</v>
      </c>
      <c r="G275" s="110">
        <f t="shared" si="35"/>
        <v>0</v>
      </c>
      <c r="H275" s="110">
        <f t="shared" si="35"/>
        <v>0</v>
      </c>
      <c r="I275" s="110">
        <f t="shared" si="35"/>
        <v>0</v>
      </c>
      <c r="J275" s="110">
        <f t="shared" si="35"/>
        <v>0</v>
      </c>
      <c r="K275" s="110">
        <f t="shared" si="35"/>
        <v>0</v>
      </c>
      <c r="L275" s="110">
        <f t="shared" si="35"/>
        <v>0</v>
      </c>
      <c r="M275" s="110">
        <f t="shared" si="35"/>
        <v>0</v>
      </c>
      <c r="N275" s="110">
        <f t="shared" si="35"/>
        <v>20</v>
      </c>
      <c r="O275" s="110">
        <f t="shared" si="35"/>
        <v>0</v>
      </c>
      <c r="P275" s="110">
        <f t="shared" si="35"/>
        <v>150</v>
      </c>
      <c r="Q275" s="110">
        <f t="shared" si="34"/>
        <v>9975.5400000000009</v>
      </c>
      <c r="R275" s="158"/>
      <c r="S275" s="4"/>
    </row>
    <row r="276" spans="1:19" hidden="1" outlineLevel="1">
      <c r="A276" s="4"/>
      <c r="B276" s="4"/>
      <c r="C276" s="7"/>
      <c r="D276" s="7"/>
      <c r="E276" s="7"/>
      <c r="F276" s="7"/>
      <c r="G276" s="7"/>
      <c r="H276" s="7"/>
      <c r="I276" s="7"/>
      <c r="J276" s="7"/>
      <c r="K276" s="7"/>
      <c r="L276" s="7"/>
      <c r="M276" s="7"/>
      <c r="N276" s="7"/>
      <c r="O276" s="7"/>
      <c r="P276" s="7"/>
      <c r="Q276" s="7"/>
      <c r="R276" s="7"/>
      <c r="S276" s="4"/>
    </row>
    <row r="277" spans="1:19" collapsed="1">
      <c r="A277" s="4"/>
      <c r="B277" s="4"/>
      <c r="C277" s="4"/>
      <c r="D277" s="4"/>
      <c r="E277" s="4"/>
      <c r="F277" s="4"/>
      <c r="G277" s="4"/>
      <c r="H277" s="4"/>
      <c r="I277" s="4"/>
      <c r="J277" s="4"/>
      <c r="K277" s="4"/>
      <c r="L277" s="4"/>
      <c r="M277" s="4"/>
      <c r="N277" s="4"/>
      <c r="O277" s="4"/>
      <c r="P277" s="4"/>
      <c r="Q277" s="4"/>
      <c r="R277" s="4"/>
      <c r="S277" s="4"/>
    </row>
    <row r="278" spans="1:19" ht="18.600000000000001">
      <c r="A278" s="4"/>
      <c r="B278" s="4"/>
      <c r="C278" s="102" t="s">
        <v>1503</v>
      </c>
      <c r="D278" s="102"/>
      <c r="E278" s="102"/>
      <c r="F278" s="102"/>
      <c r="G278" s="102"/>
      <c r="H278" s="102"/>
      <c r="I278" s="102"/>
      <c r="J278" s="102"/>
      <c r="K278" s="102"/>
      <c r="L278" s="102"/>
      <c r="M278" s="102"/>
      <c r="N278" s="102"/>
      <c r="O278" s="102"/>
      <c r="P278" s="102"/>
      <c r="Q278" s="102"/>
      <c r="R278" s="102"/>
      <c r="S278" s="4"/>
    </row>
    <row r="279" spans="1:19" hidden="1" outlineLevel="1">
      <c r="A279" s="4"/>
      <c r="B279" s="4"/>
      <c r="C279" s="4"/>
      <c r="D279" s="4"/>
      <c r="E279" s="4"/>
      <c r="F279" s="4"/>
      <c r="G279" s="4"/>
      <c r="H279" s="4"/>
      <c r="I279" s="4"/>
      <c r="J279" s="4"/>
      <c r="K279" s="4"/>
      <c r="L279" s="4"/>
      <c r="M279" s="4"/>
      <c r="N279" s="4"/>
      <c r="O279" s="4"/>
      <c r="P279" s="4"/>
      <c r="Q279" s="4"/>
      <c r="R279" s="4"/>
      <c r="S279" s="4"/>
    </row>
    <row r="280" spans="1:19" hidden="1" outlineLevel="1">
      <c r="A280" s="4"/>
      <c r="B280" s="4"/>
      <c r="C280" s="7"/>
      <c r="D280" s="7"/>
      <c r="E280" s="7"/>
      <c r="F280" s="7"/>
      <c r="G280" s="7"/>
      <c r="H280" s="7"/>
      <c r="I280" s="7"/>
      <c r="J280" s="7"/>
      <c r="K280" s="7"/>
      <c r="L280" s="7"/>
      <c r="M280" s="7"/>
      <c r="N280" s="7"/>
      <c r="O280" s="7"/>
      <c r="P280" s="7"/>
      <c r="Q280" s="7"/>
      <c r="R280" s="7"/>
      <c r="S280" s="4"/>
    </row>
    <row r="281" spans="1:19" hidden="1" outlineLevel="1">
      <c r="A281" s="4"/>
      <c r="B281" s="4"/>
      <c r="C281" s="7"/>
      <c r="D281" s="124" t="s">
        <v>1469</v>
      </c>
      <c r="E281" s="7"/>
      <c r="F281" s="7"/>
      <c r="G281" s="7"/>
      <c r="H281" s="7"/>
      <c r="I281" s="7"/>
      <c r="J281" s="7"/>
      <c r="K281" s="7"/>
      <c r="L281" s="7"/>
      <c r="M281" s="7"/>
      <c r="N281" s="7"/>
      <c r="O281" s="7"/>
      <c r="P281" s="7"/>
      <c r="Q281" s="7"/>
      <c r="R281" s="7"/>
      <c r="S281" s="4"/>
    </row>
    <row r="282" spans="1:19" hidden="1" outlineLevel="1">
      <c r="A282" s="4"/>
      <c r="B282" s="4"/>
      <c r="C282" s="7"/>
      <c r="D282" s="126" t="s">
        <v>1470</v>
      </c>
      <c r="E282" s="7"/>
      <c r="F282" s="7"/>
      <c r="G282" s="7"/>
      <c r="H282" s="7"/>
      <c r="I282" s="7"/>
      <c r="J282" s="7"/>
      <c r="K282" s="7"/>
      <c r="L282" s="7"/>
      <c r="M282" s="7"/>
      <c r="N282" s="7"/>
      <c r="O282" s="7"/>
      <c r="P282" s="7"/>
      <c r="Q282" s="7"/>
      <c r="R282" s="7"/>
      <c r="S282" s="4"/>
    </row>
    <row r="283" spans="1:19" hidden="1" outlineLevel="1">
      <c r="A283" s="4"/>
      <c r="B283" s="4"/>
      <c r="C283" s="7"/>
      <c r="D283" s="127" t="s">
        <v>1447</v>
      </c>
      <c r="E283" s="7"/>
      <c r="F283" s="7"/>
      <c r="G283" s="7"/>
      <c r="H283" s="7"/>
      <c r="I283" s="7"/>
      <c r="J283" s="7"/>
      <c r="K283" s="7"/>
      <c r="L283" s="7"/>
      <c r="M283" s="7"/>
      <c r="N283" s="7"/>
      <c r="O283" s="7"/>
      <c r="P283" s="7"/>
      <c r="Q283" s="7"/>
      <c r="R283" s="7"/>
      <c r="S283" s="4"/>
    </row>
    <row r="284" spans="1:19" hidden="1" outlineLevel="1">
      <c r="A284" s="4"/>
      <c r="B284" s="4"/>
      <c r="C284" s="7"/>
      <c r="D284" s="7"/>
      <c r="E284" s="7"/>
      <c r="F284" s="7"/>
      <c r="G284" s="7"/>
      <c r="H284" s="7"/>
      <c r="I284" s="7"/>
      <c r="J284" s="7"/>
      <c r="K284" s="7"/>
      <c r="L284" s="7"/>
      <c r="M284" s="7"/>
      <c r="N284" s="7"/>
      <c r="O284" s="7"/>
      <c r="P284" s="7"/>
      <c r="Q284" s="7"/>
      <c r="R284" s="7"/>
      <c r="S284" s="4"/>
    </row>
    <row r="285" spans="1:19" ht="29.1" hidden="1" outlineLevel="1">
      <c r="A285" s="4"/>
      <c r="B285" s="4"/>
      <c r="C285" s="7"/>
      <c r="D285" s="704" t="s">
        <v>1471</v>
      </c>
      <c r="E285" s="16" t="s">
        <v>1345</v>
      </c>
      <c r="F285" s="116" t="s">
        <v>1472</v>
      </c>
      <c r="G285" s="116" t="s">
        <v>1473</v>
      </c>
      <c r="H285" s="116" t="s">
        <v>1474</v>
      </c>
      <c r="I285" s="116" t="s">
        <v>1475</v>
      </c>
      <c r="J285" s="116" t="s">
        <v>1476</v>
      </c>
      <c r="K285" s="116" t="s">
        <v>1477</v>
      </c>
      <c r="L285" s="116" t="s">
        <v>1478</v>
      </c>
      <c r="M285" s="116" t="s">
        <v>1479</v>
      </c>
      <c r="N285" s="116" t="s">
        <v>1480</v>
      </c>
      <c r="O285" s="116" t="s">
        <v>1481</v>
      </c>
      <c r="P285" s="116" t="s">
        <v>1482</v>
      </c>
      <c r="Q285" s="116" t="s">
        <v>1483</v>
      </c>
      <c r="R285" s="7"/>
      <c r="S285" s="4"/>
    </row>
    <row r="286" spans="1:19" hidden="1" outlineLevel="1">
      <c r="A286" s="4"/>
      <c r="B286" s="4"/>
      <c r="C286" s="7"/>
      <c r="D286" s="705"/>
      <c r="E286" s="16" t="s">
        <v>1484</v>
      </c>
      <c r="F286" s="312">
        <f t="shared" ref="F286:Q286" si="36">F300</f>
        <v>5833.1900000000005</v>
      </c>
      <c r="G286" s="312">
        <f t="shared" si="36"/>
        <v>0</v>
      </c>
      <c r="H286" s="312">
        <f t="shared" si="36"/>
        <v>0</v>
      </c>
      <c r="I286" s="312">
        <f t="shared" si="36"/>
        <v>0</v>
      </c>
      <c r="J286" s="312">
        <f t="shared" si="36"/>
        <v>0</v>
      </c>
      <c r="K286" s="312">
        <f t="shared" si="36"/>
        <v>0</v>
      </c>
      <c r="L286" s="312">
        <f t="shared" si="36"/>
        <v>0</v>
      </c>
      <c r="M286" s="312">
        <f t="shared" si="36"/>
        <v>0</v>
      </c>
      <c r="N286" s="312">
        <f t="shared" si="36"/>
        <v>0</v>
      </c>
      <c r="O286" s="312">
        <f t="shared" si="36"/>
        <v>0</v>
      </c>
      <c r="P286" s="312">
        <f t="shared" si="36"/>
        <v>125</v>
      </c>
      <c r="Q286" s="312">
        <f t="shared" si="36"/>
        <v>5958.1900000000005</v>
      </c>
      <c r="R286" s="7"/>
      <c r="S286" s="4"/>
    </row>
    <row r="287" spans="1:19" hidden="1" outlineLevel="1">
      <c r="A287" s="4"/>
      <c r="B287" s="4"/>
      <c r="C287" s="7"/>
      <c r="D287" s="705"/>
      <c r="E287" s="16" t="s">
        <v>199</v>
      </c>
      <c r="F287" s="312">
        <f t="shared" ref="F287:Q287" si="37">F314</f>
        <v>8767.02</v>
      </c>
      <c r="G287" s="312">
        <f t="shared" si="37"/>
        <v>0</v>
      </c>
      <c r="H287" s="312">
        <f t="shared" si="37"/>
        <v>0</v>
      </c>
      <c r="I287" s="312">
        <f t="shared" si="37"/>
        <v>0</v>
      </c>
      <c r="J287" s="312">
        <f t="shared" si="37"/>
        <v>0</v>
      </c>
      <c r="K287" s="312">
        <f t="shared" si="37"/>
        <v>0</v>
      </c>
      <c r="L287" s="312">
        <f t="shared" si="37"/>
        <v>0</v>
      </c>
      <c r="M287" s="312">
        <f t="shared" si="37"/>
        <v>0</v>
      </c>
      <c r="N287" s="312">
        <f t="shared" si="37"/>
        <v>10</v>
      </c>
      <c r="O287" s="312">
        <f t="shared" si="37"/>
        <v>0</v>
      </c>
      <c r="P287" s="312">
        <f t="shared" si="37"/>
        <v>125</v>
      </c>
      <c r="Q287" s="312">
        <f t="shared" si="37"/>
        <v>8902.02</v>
      </c>
      <c r="R287" s="7"/>
      <c r="S287" s="4"/>
    </row>
    <row r="288" spans="1:19" hidden="1" outlineLevel="1">
      <c r="A288" s="4"/>
      <c r="B288" s="4"/>
      <c r="C288" s="7"/>
      <c r="D288" s="706"/>
      <c r="E288" s="16" t="s">
        <v>1485</v>
      </c>
      <c r="F288" s="312">
        <f>F287-F286</f>
        <v>2933.83</v>
      </c>
      <c r="G288" s="312">
        <f t="shared" ref="G288:Q288" si="38">G287-G286</f>
        <v>0</v>
      </c>
      <c r="H288" s="312">
        <f t="shared" si="38"/>
        <v>0</v>
      </c>
      <c r="I288" s="312">
        <f t="shared" si="38"/>
        <v>0</v>
      </c>
      <c r="J288" s="312">
        <f t="shared" si="38"/>
        <v>0</v>
      </c>
      <c r="K288" s="312">
        <f t="shared" si="38"/>
        <v>0</v>
      </c>
      <c r="L288" s="312">
        <f t="shared" si="38"/>
        <v>0</v>
      </c>
      <c r="M288" s="312">
        <f t="shared" si="38"/>
        <v>0</v>
      </c>
      <c r="N288" s="312">
        <f t="shared" si="38"/>
        <v>10</v>
      </c>
      <c r="O288" s="312">
        <f t="shared" si="38"/>
        <v>0</v>
      </c>
      <c r="P288" s="312">
        <f t="shared" si="38"/>
        <v>0</v>
      </c>
      <c r="Q288" s="312">
        <f t="shared" si="38"/>
        <v>2943.83</v>
      </c>
      <c r="R288" s="7"/>
      <c r="S288" s="4"/>
    </row>
    <row r="289" spans="1:19" hidden="1" outlineLevel="1">
      <c r="A289" s="4"/>
      <c r="B289" s="4"/>
      <c r="C289" s="7"/>
      <c r="D289" s="7"/>
      <c r="E289" s="7"/>
      <c r="F289" s="7"/>
      <c r="G289" s="7"/>
      <c r="H289" s="7"/>
      <c r="I289" s="7"/>
      <c r="J289" s="7"/>
      <c r="K289" s="7"/>
      <c r="L289" s="7"/>
      <c r="M289" s="7"/>
      <c r="N289" s="7"/>
      <c r="O289" s="7"/>
      <c r="P289" s="7"/>
      <c r="Q289" s="7"/>
      <c r="R289" s="7"/>
      <c r="S289" s="4"/>
    </row>
    <row r="290" spans="1:19" collapsed="1">
      <c r="A290" s="4"/>
      <c r="B290" s="4"/>
      <c r="C290" s="4"/>
      <c r="D290" s="4"/>
      <c r="E290" s="4"/>
      <c r="F290" s="4"/>
      <c r="G290" s="4"/>
      <c r="H290" s="4"/>
      <c r="I290" s="4"/>
      <c r="J290" s="4"/>
      <c r="K290" s="4"/>
      <c r="L290" s="4"/>
      <c r="M290" s="4"/>
      <c r="N290" s="4"/>
      <c r="O290" s="4"/>
      <c r="P290" s="4"/>
      <c r="Q290" s="4"/>
      <c r="R290" s="4"/>
      <c r="S290" s="4"/>
    </row>
    <row r="291" spans="1:19" ht="18.600000000000001">
      <c r="A291" s="102"/>
      <c r="B291" s="102"/>
      <c r="C291" s="562" t="s">
        <v>1504</v>
      </c>
      <c r="D291" s="102"/>
      <c r="E291" s="102"/>
      <c r="F291" s="102"/>
      <c r="G291" s="102"/>
      <c r="H291" s="102"/>
      <c r="I291" s="102"/>
      <c r="J291" s="102"/>
      <c r="K291" s="102"/>
      <c r="L291" s="102"/>
      <c r="M291" s="102"/>
      <c r="N291" s="102"/>
      <c r="O291" s="102"/>
      <c r="P291" s="102"/>
      <c r="Q291" s="102"/>
      <c r="R291" s="102"/>
      <c r="S291" s="4"/>
    </row>
    <row r="292" spans="1:19" hidden="1" outlineLevel="1">
      <c r="A292" s="4"/>
      <c r="B292" s="4"/>
      <c r="C292" s="4"/>
      <c r="D292" s="4"/>
      <c r="E292" s="4"/>
      <c r="F292" s="4"/>
      <c r="G292" s="4"/>
      <c r="H292" s="4"/>
      <c r="I292" s="4"/>
      <c r="J292" s="4"/>
      <c r="K292" s="4"/>
      <c r="L292" s="4"/>
      <c r="M292" s="4"/>
      <c r="N292" s="4"/>
      <c r="O292" s="4"/>
      <c r="P292" s="4"/>
      <c r="Q292" s="4"/>
      <c r="R292" s="4"/>
      <c r="S292" s="4"/>
    </row>
    <row r="293" spans="1:19" hidden="1" outlineLevel="1">
      <c r="A293" s="4"/>
      <c r="B293" s="4"/>
      <c r="C293" s="7"/>
      <c r="D293" s="7"/>
      <c r="E293" s="7"/>
      <c r="F293" s="7"/>
      <c r="G293" s="7"/>
      <c r="H293" s="7"/>
      <c r="I293" s="7"/>
      <c r="J293" s="7"/>
      <c r="K293" s="7"/>
      <c r="L293" s="7"/>
      <c r="M293" s="7"/>
      <c r="N293" s="7"/>
      <c r="O293" s="7"/>
      <c r="P293" s="7"/>
      <c r="Q293" s="7"/>
      <c r="R293" s="7"/>
      <c r="S293" s="4"/>
    </row>
    <row r="294" spans="1:19" ht="29.1" hidden="1" outlineLevel="1">
      <c r="A294" s="4"/>
      <c r="B294" s="4"/>
      <c r="C294" s="7"/>
      <c r="D294" s="116" t="s">
        <v>1361</v>
      </c>
      <c r="E294" s="116" t="s">
        <v>1487</v>
      </c>
      <c r="F294" s="116" t="s">
        <v>1472</v>
      </c>
      <c r="G294" s="116" t="s">
        <v>1473</v>
      </c>
      <c r="H294" s="116" t="s">
        <v>1474</v>
      </c>
      <c r="I294" s="116" t="s">
        <v>1475</v>
      </c>
      <c r="J294" s="116" t="s">
        <v>1476</v>
      </c>
      <c r="K294" s="116" t="s">
        <v>1477</v>
      </c>
      <c r="L294" s="116" t="s">
        <v>1478</v>
      </c>
      <c r="M294" s="116" t="s">
        <v>1479</v>
      </c>
      <c r="N294" s="116" t="s">
        <v>1480</v>
      </c>
      <c r="O294" s="116" t="s">
        <v>1481</v>
      </c>
      <c r="P294" s="116" t="s">
        <v>1482</v>
      </c>
      <c r="Q294" s="116" t="s">
        <v>1483</v>
      </c>
      <c r="R294" s="148"/>
      <c r="S294" s="4"/>
    </row>
    <row r="295" spans="1:19" hidden="1" outlineLevel="1">
      <c r="A295" s="4"/>
      <c r="B295" s="4"/>
      <c r="C295" s="7"/>
      <c r="D295" s="116" t="s">
        <v>1167</v>
      </c>
      <c r="E295" s="118" t="s">
        <v>1181</v>
      </c>
      <c r="F295" s="110">
        <v>135</v>
      </c>
      <c r="G295" s="110">
        <v>0</v>
      </c>
      <c r="H295" s="110">
        <v>0</v>
      </c>
      <c r="I295" s="110">
        <v>0</v>
      </c>
      <c r="J295" s="110">
        <v>0</v>
      </c>
      <c r="K295" s="110">
        <v>0</v>
      </c>
      <c r="L295" s="110">
        <v>0</v>
      </c>
      <c r="M295" s="110">
        <v>0</v>
      </c>
      <c r="N295" s="110">
        <v>0</v>
      </c>
      <c r="O295" s="110">
        <v>0</v>
      </c>
      <c r="P295" s="110">
        <v>25</v>
      </c>
      <c r="Q295" s="110">
        <f>SUM(Table47984101104[[#This Row],[Consumption (USD)]:[Vendor Support (USD)]])</f>
        <v>160</v>
      </c>
      <c r="R295" s="157"/>
      <c r="S295" s="4"/>
    </row>
    <row r="296" spans="1:19" hidden="1" outlineLevel="1">
      <c r="A296" s="4"/>
      <c r="B296" s="4"/>
      <c r="C296" s="7"/>
      <c r="D296" s="116" t="s">
        <v>1168</v>
      </c>
      <c r="E296" s="118" t="s">
        <v>1182</v>
      </c>
      <c r="F296" s="110">
        <v>100</v>
      </c>
      <c r="G296" s="110">
        <v>0</v>
      </c>
      <c r="H296" s="110">
        <v>0</v>
      </c>
      <c r="I296" s="110">
        <v>0</v>
      </c>
      <c r="J296" s="110">
        <v>0</v>
      </c>
      <c r="K296" s="115">
        <v>0</v>
      </c>
      <c r="L296" s="115">
        <v>0</v>
      </c>
      <c r="M296" s="115">
        <v>0</v>
      </c>
      <c r="N296" s="115">
        <v>0</v>
      </c>
      <c r="O296" s="115">
        <v>0</v>
      </c>
      <c r="P296" s="115">
        <v>25</v>
      </c>
      <c r="Q296" s="110">
        <f>SUM(Table47984101104[[#This Row],[Consumption (USD)]:[Vendor Support (USD)]])</f>
        <v>125</v>
      </c>
      <c r="R296" s="157"/>
      <c r="S296" s="4"/>
    </row>
    <row r="297" spans="1:19" hidden="1" outlineLevel="1">
      <c r="A297" s="4"/>
      <c r="B297" s="4"/>
      <c r="C297" s="7"/>
      <c r="D297" s="116" t="s">
        <v>975</v>
      </c>
      <c r="E297" s="118" t="s">
        <v>1183</v>
      </c>
      <c r="F297" s="115">
        <v>2592.5</v>
      </c>
      <c r="G297" s="110">
        <v>0</v>
      </c>
      <c r="H297" s="110">
        <v>0</v>
      </c>
      <c r="I297" s="110">
        <v>0</v>
      </c>
      <c r="J297" s="110">
        <v>0</v>
      </c>
      <c r="K297" s="115">
        <v>0</v>
      </c>
      <c r="L297" s="115">
        <v>0</v>
      </c>
      <c r="M297" s="115">
        <v>0</v>
      </c>
      <c r="N297" s="115">
        <v>0</v>
      </c>
      <c r="O297" s="115">
        <v>0</v>
      </c>
      <c r="P297" s="115">
        <v>25</v>
      </c>
      <c r="Q297" s="110">
        <f>SUM(Table47984101104[[#This Row],[Consumption (USD)]:[Vendor Support (USD)]])</f>
        <v>2617.5</v>
      </c>
      <c r="R297" s="157"/>
      <c r="S297" s="4"/>
    </row>
    <row r="298" spans="1:19" hidden="1" outlineLevel="1">
      <c r="A298" s="4"/>
      <c r="B298" s="4"/>
      <c r="C298" s="7"/>
      <c r="D298" s="116" t="s">
        <v>981</v>
      </c>
      <c r="E298" s="118" t="s">
        <v>1184</v>
      </c>
      <c r="F298" s="115">
        <v>2708.3</v>
      </c>
      <c r="G298" s="110">
        <v>0</v>
      </c>
      <c r="H298" s="110">
        <v>0</v>
      </c>
      <c r="I298" s="110">
        <v>0</v>
      </c>
      <c r="J298" s="110">
        <v>0</v>
      </c>
      <c r="K298" s="115">
        <v>0</v>
      </c>
      <c r="L298" s="115">
        <v>0</v>
      </c>
      <c r="M298" s="115">
        <v>0</v>
      </c>
      <c r="N298" s="115">
        <v>0</v>
      </c>
      <c r="O298" s="115">
        <v>0</v>
      </c>
      <c r="P298" s="115">
        <v>25</v>
      </c>
      <c r="Q298" s="110">
        <f>SUM(Table47984101104[[#This Row],[Consumption (USD)]:[Vendor Support (USD)]])</f>
        <v>2733.3</v>
      </c>
      <c r="R298" s="157"/>
      <c r="S298" s="4"/>
    </row>
    <row r="299" spans="1:19" hidden="1" outlineLevel="1">
      <c r="A299" s="4"/>
      <c r="B299" s="4"/>
      <c r="C299" s="7"/>
      <c r="D299" s="116" t="s">
        <v>1169</v>
      </c>
      <c r="E299" s="116" t="s">
        <v>1489</v>
      </c>
      <c r="F299" s="115">
        <v>297.39</v>
      </c>
      <c r="G299" s="110">
        <v>0</v>
      </c>
      <c r="H299" s="110">
        <v>0</v>
      </c>
      <c r="I299" s="110">
        <v>0</v>
      </c>
      <c r="J299" s="110">
        <v>0</v>
      </c>
      <c r="K299" s="115">
        <v>0</v>
      </c>
      <c r="L299" s="115">
        <v>0</v>
      </c>
      <c r="M299" s="115">
        <v>0</v>
      </c>
      <c r="N299" s="115">
        <v>0</v>
      </c>
      <c r="O299" s="115">
        <v>0</v>
      </c>
      <c r="P299" s="115">
        <v>25</v>
      </c>
      <c r="Q299" s="110">
        <f>SUM(Table47984101104[[#This Row],[Consumption (USD)]:[Vendor Support (USD)]])</f>
        <v>322.39</v>
      </c>
      <c r="R299" s="157"/>
      <c r="S299" s="4"/>
    </row>
    <row r="300" spans="1:19" hidden="1" outlineLevel="1">
      <c r="A300" s="4"/>
      <c r="B300" s="4"/>
      <c r="C300" s="7"/>
      <c r="D300" s="118"/>
      <c r="E300" s="118"/>
      <c r="F300" s="115">
        <f t="shared" ref="F300:P300" si="39">SUM(F295:F299)</f>
        <v>5833.1900000000005</v>
      </c>
      <c r="G300" s="115">
        <f t="shared" si="39"/>
        <v>0</v>
      </c>
      <c r="H300" s="115">
        <f t="shared" si="39"/>
        <v>0</v>
      </c>
      <c r="I300" s="115">
        <f t="shared" si="39"/>
        <v>0</v>
      </c>
      <c r="J300" s="115">
        <f t="shared" si="39"/>
        <v>0</v>
      </c>
      <c r="K300" s="115">
        <f t="shared" si="39"/>
        <v>0</v>
      </c>
      <c r="L300" s="115">
        <f t="shared" si="39"/>
        <v>0</v>
      </c>
      <c r="M300" s="115">
        <f t="shared" si="39"/>
        <v>0</v>
      </c>
      <c r="N300" s="115">
        <f t="shared" si="39"/>
        <v>0</v>
      </c>
      <c r="O300" s="115">
        <f t="shared" si="39"/>
        <v>0</v>
      </c>
      <c r="P300" s="115">
        <f t="shared" si="39"/>
        <v>125</v>
      </c>
      <c r="Q300" s="110">
        <f>SUM(Table47984101104[[#This Row],[Consumption (USD)]:[Vendor Support (USD)]])</f>
        <v>5958.1900000000005</v>
      </c>
      <c r="R300" s="158"/>
      <c r="S300" s="4"/>
    </row>
    <row r="301" spans="1:19" hidden="1" outlineLevel="1">
      <c r="A301" s="4"/>
      <c r="B301" s="4"/>
      <c r="C301" s="7"/>
      <c r="D301" s="146"/>
      <c r="E301" s="146"/>
      <c r="F301" s="146"/>
      <c r="G301" s="146"/>
      <c r="H301" s="146"/>
      <c r="I301" s="147"/>
      <c r="J301" s="148"/>
      <c r="K301" s="148"/>
      <c r="L301" s="148"/>
      <c r="M301" s="148"/>
      <c r="N301" s="149"/>
      <c r="O301" s="148"/>
      <c r="P301" s="149"/>
      <c r="Q301" s="150"/>
      <c r="R301" s="150"/>
      <c r="S301" s="155"/>
    </row>
    <row r="302" spans="1:19" collapsed="1">
      <c r="A302" s="4"/>
      <c r="B302" s="4"/>
      <c r="C302" s="4"/>
      <c r="D302" s="151"/>
      <c r="E302" s="151"/>
      <c r="F302" s="151"/>
      <c r="G302" s="151"/>
      <c r="H302" s="151"/>
      <c r="I302" s="152"/>
      <c r="J302" s="153"/>
      <c r="K302" s="153"/>
      <c r="L302" s="153"/>
      <c r="M302" s="153"/>
      <c r="N302" s="154"/>
      <c r="O302" s="153"/>
      <c r="P302" s="154"/>
      <c r="Q302" s="155"/>
      <c r="R302" s="155"/>
      <c r="S302" s="155"/>
    </row>
    <row r="303" spans="1:19" ht="18.600000000000001">
      <c r="A303" s="102"/>
      <c r="B303" s="102"/>
      <c r="C303" s="562" t="s">
        <v>1463</v>
      </c>
      <c r="D303" s="102"/>
      <c r="E303" s="102"/>
      <c r="F303" s="102"/>
      <c r="G303" s="102"/>
      <c r="H303" s="102"/>
      <c r="I303" s="102"/>
      <c r="J303" s="102"/>
      <c r="K303" s="102"/>
      <c r="L303" s="102"/>
      <c r="M303" s="102"/>
      <c r="N303" s="102"/>
      <c r="O303" s="102"/>
      <c r="P303" s="102"/>
      <c r="Q303" s="102"/>
      <c r="R303" s="102"/>
      <c r="S303" s="4"/>
    </row>
    <row r="304" spans="1:19" hidden="1" outlineLevel="1">
      <c r="A304" s="4"/>
      <c r="B304" s="4"/>
      <c r="C304" s="4"/>
      <c r="D304" s="4"/>
      <c r="E304" s="4"/>
      <c r="F304" s="4"/>
      <c r="G304" s="4"/>
      <c r="H304" s="4"/>
      <c r="I304" s="4"/>
      <c r="J304" s="4"/>
      <c r="K304" s="4"/>
      <c r="L304" s="4"/>
      <c r="M304" s="4"/>
      <c r="N304" s="4"/>
      <c r="O304" s="4"/>
      <c r="P304" s="4"/>
      <c r="Q304" s="4"/>
      <c r="R304" s="4"/>
      <c r="S304" s="4"/>
    </row>
    <row r="305" spans="1:19" hidden="1" outlineLevel="1">
      <c r="A305" s="4"/>
      <c r="B305" s="4"/>
      <c r="C305" s="7"/>
      <c r="D305" s="7"/>
      <c r="E305" s="7"/>
      <c r="F305" s="7"/>
      <c r="G305" s="7"/>
      <c r="H305" s="7"/>
      <c r="I305" s="7"/>
      <c r="J305" s="7"/>
      <c r="K305" s="7"/>
      <c r="L305" s="7"/>
      <c r="M305" s="7"/>
      <c r="N305" s="7"/>
      <c r="O305" s="7"/>
      <c r="P305" s="7"/>
      <c r="Q305" s="7"/>
      <c r="R305" s="7"/>
      <c r="S305" s="4"/>
    </row>
    <row r="306" spans="1:19" ht="29.1" hidden="1" outlineLevel="1">
      <c r="A306" s="4"/>
      <c r="B306" s="4"/>
      <c r="C306" s="7"/>
      <c r="D306" s="116" t="s">
        <v>1361</v>
      </c>
      <c r="E306" s="116" t="s">
        <v>1487</v>
      </c>
      <c r="F306" s="116" t="s">
        <v>1472</v>
      </c>
      <c r="G306" s="116" t="s">
        <v>1473</v>
      </c>
      <c r="H306" s="116" t="s">
        <v>1474</v>
      </c>
      <c r="I306" s="116" t="s">
        <v>1475</v>
      </c>
      <c r="J306" s="116" t="s">
        <v>1476</v>
      </c>
      <c r="K306" s="116" t="s">
        <v>1477</v>
      </c>
      <c r="L306" s="116" t="s">
        <v>1478</v>
      </c>
      <c r="M306" s="116" t="s">
        <v>1479</v>
      </c>
      <c r="N306" s="116" t="s">
        <v>1480</v>
      </c>
      <c r="O306" s="116" t="s">
        <v>1481</v>
      </c>
      <c r="P306" s="116" t="s">
        <v>1482</v>
      </c>
      <c r="Q306" s="116" t="s">
        <v>1483</v>
      </c>
      <c r="R306" s="148"/>
      <c r="S306" s="4"/>
    </row>
    <row r="307" spans="1:19" hidden="1" outlineLevel="1">
      <c r="A307" s="4"/>
      <c r="B307" s="4"/>
      <c r="C307" s="7"/>
      <c r="D307" s="116" t="s">
        <v>1167</v>
      </c>
      <c r="E307" s="116" t="s">
        <v>1181</v>
      </c>
      <c r="F307" s="110">
        <v>135</v>
      </c>
      <c r="G307" s="110">
        <v>0</v>
      </c>
      <c r="H307" s="110">
        <v>0</v>
      </c>
      <c r="I307" s="110">
        <v>0</v>
      </c>
      <c r="J307" s="110">
        <v>0</v>
      </c>
      <c r="K307" s="110">
        <v>0</v>
      </c>
      <c r="L307" s="110">
        <v>0</v>
      </c>
      <c r="M307" s="110">
        <v>0</v>
      </c>
      <c r="N307" s="110">
        <v>0</v>
      </c>
      <c r="O307" s="110">
        <v>0</v>
      </c>
      <c r="P307" s="110">
        <v>25</v>
      </c>
      <c r="Q307" s="110">
        <f>SUM(F307:P307)</f>
        <v>160</v>
      </c>
      <c r="R307" s="157"/>
      <c r="S307" s="4"/>
    </row>
    <row r="308" spans="1:19" hidden="1" outlineLevel="1">
      <c r="A308" s="4"/>
      <c r="B308" s="4"/>
      <c r="C308" s="7"/>
      <c r="D308" s="116" t="s">
        <v>1168</v>
      </c>
      <c r="E308" s="116" t="s">
        <v>1182</v>
      </c>
      <c r="F308" s="110">
        <v>100</v>
      </c>
      <c r="G308" s="110">
        <v>0</v>
      </c>
      <c r="H308" s="110">
        <v>0</v>
      </c>
      <c r="I308" s="110">
        <v>0</v>
      </c>
      <c r="J308" s="110">
        <v>0</v>
      </c>
      <c r="K308" s="110">
        <v>0</v>
      </c>
      <c r="L308" s="110">
        <v>0</v>
      </c>
      <c r="M308" s="110">
        <v>0</v>
      </c>
      <c r="N308" s="110">
        <v>0</v>
      </c>
      <c r="O308" s="110">
        <v>0</v>
      </c>
      <c r="P308" s="110">
        <v>25</v>
      </c>
      <c r="Q308" s="110">
        <f t="shared" ref="Q308:Q314" si="40">SUM(F308:P308)</f>
        <v>125</v>
      </c>
      <c r="R308" s="157"/>
      <c r="S308" s="4"/>
    </row>
    <row r="309" spans="1:19" hidden="1" outlineLevel="1">
      <c r="A309" s="4"/>
      <c r="B309" s="4"/>
      <c r="C309" s="7"/>
      <c r="D309" s="116" t="s">
        <v>978</v>
      </c>
      <c r="E309" s="116" t="s">
        <v>1184</v>
      </c>
      <c r="F309" s="110">
        <v>341.33</v>
      </c>
      <c r="G309" s="110">
        <v>0</v>
      </c>
      <c r="H309" s="110">
        <v>0</v>
      </c>
      <c r="I309" s="110">
        <v>0</v>
      </c>
      <c r="J309" s="110">
        <v>0</v>
      </c>
      <c r="K309" s="110">
        <v>0</v>
      </c>
      <c r="L309" s="110">
        <v>0</v>
      </c>
      <c r="M309" s="110">
        <v>0</v>
      </c>
      <c r="N309" s="110">
        <v>0</v>
      </c>
      <c r="O309" s="110">
        <v>0</v>
      </c>
      <c r="P309" s="110">
        <v>0</v>
      </c>
      <c r="Q309" s="110">
        <f t="shared" si="40"/>
        <v>341.33</v>
      </c>
      <c r="R309" s="157"/>
      <c r="S309" s="4"/>
    </row>
    <row r="310" spans="1:19" hidden="1" outlineLevel="1">
      <c r="A310" s="4"/>
      <c r="B310" s="4"/>
      <c r="C310" s="7"/>
      <c r="D310" s="116" t="s">
        <v>1492</v>
      </c>
      <c r="E310" s="116" t="s">
        <v>1395</v>
      </c>
      <c r="F310" s="110">
        <v>0</v>
      </c>
      <c r="G310" s="110">
        <v>0</v>
      </c>
      <c r="H310" s="110">
        <v>0</v>
      </c>
      <c r="I310" s="110">
        <v>0</v>
      </c>
      <c r="J310" s="110">
        <v>0</v>
      </c>
      <c r="K310" s="110">
        <v>0</v>
      </c>
      <c r="L310" s="110">
        <v>0</v>
      </c>
      <c r="M310" s="110">
        <v>0</v>
      </c>
      <c r="N310" s="110">
        <v>0</v>
      </c>
      <c r="O310" s="110">
        <v>0</v>
      </c>
      <c r="P310" s="110">
        <v>0</v>
      </c>
      <c r="Q310" s="110">
        <f t="shared" si="40"/>
        <v>0</v>
      </c>
      <c r="R310" s="157"/>
      <c r="S310" s="4"/>
    </row>
    <row r="311" spans="1:19" hidden="1" outlineLevel="1">
      <c r="A311" s="4"/>
      <c r="B311" s="4"/>
      <c r="C311" s="7"/>
      <c r="D311" s="116" t="s">
        <v>975</v>
      </c>
      <c r="E311" s="116" t="s">
        <v>1183</v>
      </c>
      <c r="F311" s="110">
        <f>2592.5*2</f>
        <v>5185</v>
      </c>
      <c r="G311" s="110">
        <v>0</v>
      </c>
      <c r="H311" s="110">
        <v>0</v>
      </c>
      <c r="I311" s="110">
        <v>0</v>
      </c>
      <c r="J311" s="110">
        <v>0</v>
      </c>
      <c r="K311" s="110">
        <v>0</v>
      </c>
      <c r="L311" s="110">
        <v>0</v>
      </c>
      <c r="M311" s="110">
        <v>0</v>
      </c>
      <c r="N311" s="110">
        <v>10</v>
      </c>
      <c r="O311" s="110">
        <v>0</v>
      </c>
      <c r="P311" s="110">
        <v>25</v>
      </c>
      <c r="Q311" s="110">
        <f t="shared" si="40"/>
        <v>5220</v>
      </c>
      <c r="R311" s="157"/>
      <c r="S311" s="4"/>
    </row>
    <row r="312" spans="1:19" hidden="1" outlineLevel="1">
      <c r="A312" s="4"/>
      <c r="B312" s="4"/>
      <c r="C312" s="7"/>
      <c r="D312" s="116" t="s">
        <v>981</v>
      </c>
      <c r="E312" s="116" t="s">
        <v>1184</v>
      </c>
      <c r="F312" s="110">
        <v>2708.3</v>
      </c>
      <c r="G312" s="110">
        <v>0</v>
      </c>
      <c r="H312" s="110">
        <v>0</v>
      </c>
      <c r="I312" s="110">
        <v>0</v>
      </c>
      <c r="J312" s="110">
        <v>0</v>
      </c>
      <c r="K312" s="110">
        <v>0</v>
      </c>
      <c r="L312" s="110">
        <v>0</v>
      </c>
      <c r="M312" s="110">
        <v>0</v>
      </c>
      <c r="N312" s="110">
        <v>0</v>
      </c>
      <c r="O312" s="110">
        <v>0</v>
      </c>
      <c r="P312" s="110">
        <v>25</v>
      </c>
      <c r="Q312" s="110">
        <f t="shared" si="40"/>
        <v>2733.3</v>
      </c>
      <c r="R312" s="157"/>
      <c r="S312" s="4"/>
    </row>
    <row r="313" spans="1:19" hidden="1" outlineLevel="1">
      <c r="A313" s="4"/>
      <c r="B313" s="4"/>
      <c r="C313" s="7"/>
      <c r="D313" s="116" t="s">
        <v>1169</v>
      </c>
      <c r="E313" s="116" t="s">
        <v>1489</v>
      </c>
      <c r="F313" s="110">
        <v>297.39</v>
      </c>
      <c r="G313" s="110">
        <v>0</v>
      </c>
      <c r="H313" s="110">
        <v>0</v>
      </c>
      <c r="I313" s="110">
        <v>0</v>
      </c>
      <c r="J313" s="110">
        <v>0</v>
      </c>
      <c r="K313" s="110">
        <v>0</v>
      </c>
      <c r="L313" s="110">
        <v>0</v>
      </c>
      <c r="M313" s="110">
        <v>0</v>
      </c>
      <c r="N313" s="110">
        <v>0</v>
      </c>
      <c r="O313" s="110">
        <v>0</v>
      </c>
      <c r="P313" s="110">
        <v>25</v>
      </c>
      <c r="Q313" s="110">
        <f t="shared" si="40"/>
        <v>322.39</v>
      </c>
      <c r="R313" s="157"/>
      <c r="S313" s="4"/>
    </row>
    <row r="314" spans="1:19" hidden="1" outlineLevel="1">
      <c r="A314" s="4"/>
      <c r="B314" s="4"/>
      <c r="C314" s="7"/>
      <c r="D314" s="116"/>
      <c r="E314" s="116"/>
      <c r="F314" s="110">
        <f t="shared" ref="F314:P314" si="41">SUM(F307:F313)</f>
        <v>8767.02</v>
      </c>
      <c r="G314" s="110">
        <f t="shared" si="41"/>
        <v>0</v>
      </c>
      <c r="H314" s="110">
        <f t="shared" si="41"/>
        <v>0</v>
      </c>
      <c r="I314" s="110">
        <f t="shared" si="41"/>
        <v>0</v>
      </c>
      <c r="J314" s="110">
        <f t="shared" si="41"/>
        <v>0</v>
      </c>
      <c r="K314" s="110">
        <f t="shared" si="41"/>
        <v>0</v>
      </c>
      <c r="L314" s="110">
        <f t="shared" si="41"/>
        <v>0</v>
      </c>
      <c r="M314" s="110">
        <f t="shared" si="41"/>
        <v>0</v>
      </c>
      <c r="N314" s="110">
        <f t="shared" si="41"/>
        <v>10</v>
      </c>
      <c r="O314" s="110">
        <f t="shared" si="41"/>
        <v>0</v>
      </c>
      <c r="P314" s="110">
        <f t="shared" si="41"/>
        <v>125</v>
      </c>
      <c r="Q314" s="110">
        <f t="shared" si="40"/>
        <v>8902.02</v>
      </c>
      <c r="R314" s="158"/>
      <c r="S314" s="4"/>
    </row>
    <row r="315" spans="1:19" hidden="1" outlineLevel="1">
      <c r="A315" s="4"/>
      <c r="B315" s="4"/>
      <c r="C315" s="7"/>
      <c r="D315" s="7"/>
      <c r="E315" s="7"/>
      <c r="F315" s="7"/>
      <c r="G315" s="7"/>
      <c r="H315" s="7"/>
      <c r="I315" s="7"/>
      <c r="J315" s="7"/>
      <c r="K315" s="7"/>
      <c r="L315" s="7"/>
      <c r="M315" s="7"/>
      <c r="N315" s="7"/>
      <c r="O315" s="7"/>
      <c r="P315" s="7"/>
      <c r="Q315" s="7"/>
      <c r="R315" s="7"/>
      <c r="S315" s="4"/>
    </row>
    <row r="316" spans="1:19" collapsed="1">
      <c r="A316" s="4"/>
      <c r="B316" s="4"/>
      <c r="C316" s="4"/>
      <c r="D316" s="4"/>
      <c r="E316" s="4"/>
      <c r="F316" s="4"/>
      <c r="G316" s="4"/>
      <c r="H316" s="4"/>
      <c r="I316" s="4"/>
      <c r="J316" s="4"/>
      <c r="K316" s="4"/>
      <c r="L316" s="4"/>
      <c r="M316" s="4"/>
      <c r="N316" s="4"/>
      <c r="O316" s="4"/>
      <c r="P316" s="4"/>
      <c r="Q316" s="4"/>
      <c r="R316" s="4"/>
      <c r="S316" s="4"/>
    </row>
    <row r="317" spans="1:19" ht="18.600000000000001">
      <c r="A317" s="4"/>
      <c r="B317" s="4"/>
      <c r="C317" s="102" t="s">
        <v>1505</v>
      </c>
      <c r="D317" s="102"/>
      <c r="E317" s="102"/>
      <c r="F317" s="102"/>
      <c r="G317" s="102"/>
      <c r="H317" s="102"/>
      <c r="I317" s="102"/>
      <c r="J317" s="102"/>
      <c r="K317" s="102"/>
      <c r="L317" s="102"/>
      <c r="M317" s="102"/>
      <c r="N317" s="102"/>
      <c r="O317" s="102"/>
      <c r="P317" s="102"/>
      <c r="Q317" s="102"/>
      <c r="R317" s="102"/>
      <c r="S317" s="4"/>
    </row>
    <row r="318" spans="1:19" hidden="1" outlineLevel="1">
      <c r="A318" s="4"/>
      <c r="B318" s="4"/>
      <c r="C318" s="4"/>
      <c r="D318" s="4"/>
      <c r="E318" s="4"/>
      <c r="F318" s="4"/>
      <c r="G318" s="4"/>
      <c r="H318" s="4"/>
      <c r="I318" s="4"/>
      <c r="J318" s="4"/>
      <c r="K318" s="4"/>
      <c r="L318" s="4"/>
      <c r="M318" s="4"/>
      <c r="N318" s="4"/>
      <c r="O318" s="4"/>
      <c r="P318" s="4"/>
      <c r="Q318" s="4"/>
      <c r="R318" s="4"/>
      <c r="S318" s="4"/>
    </row>
    <row r="319" spans="1:19" hidden="1" outlineLevel="1">
      <c r="A319" s="4"/>
      <c r="B319" s="4"/>
      <c r="C319" s="7"/>
      <c r="D319" s="7"/>
      <c r="E319" s="7"/>
      <c r="F319" s="7"/>
      <c r="G319" s="7"/>
      <c r="H319" s="7"/>
      <c r="I319" s="7"/>
      <c r="J319" s="7"/>
      <c r="K319" s="7"/>
      <c r="L319" s="7"/>
      <c r="M319" s="7"/>
      <c r="N319" s="7"/>
      <c r="O319" s="7"/>
      <c r="P319" s="7"/>
      <c r="Q319" s="7"/>
      <c r="R319" s="7"/>
      <c r="S319" s="4"/>
    </row>
    <row r="320" spans="1:19" hidden="1" outlineLevel="1">
      <c r="A320" s="4"/>
      <c r="B320" s="4"/>
      <c r="C320" s="7"/>
      <c r="D320" s="124" t="s">
        <v>1469</v>
      </c>
      <c r="E320" s="7"/>
      <c r="F320" s="7"/>
      <c r="G320" s="7"/>
      <c r="H320" s="7"/>
      <c r="I320" s="7"/>
      <c r="J320" s="7"/>
      <c r="K320" s="7"/>
      <c r="L320" s="7"/>
      <c r="M320" s="7"/>
      <c r="N320" s="7"/>
      <c r="O320" s="7"/>
      <c r="P320" s="7"/>
      <c r="Q320" s="7"/>
      <c r="R320" s="7"/>
      <c r="S320" s="4"/>
    </row>
    <row r="321" spans="1:19" hidden="1" outlineLevel="1">
      <c r="A321" s="4"/>
      <c r="B321" s="4"/>
      <c r="C321" s="7"/>
      <c r="D321" s="126" t="s">
        <v>1470</v>
      </c>
      <c r="E321" s="7"/>
      <c r="F321" s="7"/>
      <c r="G321" s="7"/>
      <c r="H321" s="7"/>
      <c r="I321" s="7"/>
      <c r="J321" s="7"/>
      <c r="K321" s="7"/>
      <c r="L321" s="7"/>
      <c r="M321" s="7"/>
      <c r="N321" s="7"/>
      <c r="O321" s="7"/>
      <c r="P321" s="7"/>
      <c r="Q321" s="7"/>
      <c r="R321" s="7"/>
      <c r="S321" s="4"/>
    </row>
    <row r="322" spans="1:19" hidden="1" outlineLevel="1">
      <c r="A322" s="4"/>
      <c r="B322" s="4"/>
      <c r="C322" s="7"/>
      <c r="D322" s="127" t="s">
        <v>1447</v>
      </c>
      <c r="E322" s="7"/>
      <c r="F322" s="7"/>
      <c r="G322" s="7"/>
      <c r="H322" s="7"/>
      <c r="I322" s="7"/>
      <c r="J322" s="7"/>
      <c r="K322" s="7"/>
      <c r="L322" s="7"/>
      <c r="M322" s="7"/>
      <c r="N322" s="7"/>
      <c r="O322" s="7"/>
      <c r="P322" s="7"/>
      <c r="Q322" s="7"/>
      <c r="R322" s="7"/>
      <c r="S322" s="4"/>
    </row>
    <row r="323" spans="1:19" hidden="1" outlineLevel="1">
      <c r="A323" s="4"/>
      <c r="B323" s="4"/>
      <c r="C323" s="7"/>
      <c r="D323" s="7"/>
      <c r="E323" s="7"/>
      <c r="F323" s="7"/>
      <c r="G323" s="7"/>
      <c r="H323" s="7"/>
      <c r="I323" s="7"/>
      <c r="J323" s="7"/>
      <c r="K323" s="7"/>
      <c r="L323" s="7"/>
      <c r="M323" s="7"/>
      <c r="N323" s="7"/>
      <c r="O323" s="7"/>
      <c r="P323" s="7"/>
      <c r="Q323" s="7"/>
      <c r="R323" s="7"/>
      <c r="S323" s="4"/>
    </row>
    <row r="324" spans="1:19" ht="29.1" hidden="1" outlineLevel="1">
      <c r="A324" s="4"/>
      <c r="B324" s="4"/>
      <c r="C324" s="7"/>
      <c r="D324" s="704" t="s">
        <v>1471</v>
      </c>
      <c r="E324" s="16" t="s">
        <v>1345</v>
      </c>
      <c r="F324" s="116" t="s">
        <v>1472</v>
      </c>
      <c r="G324" s="116" t="s">
        <v>1473</v>
      </c>
      <c r="H324" s="116" t="s">
        <v>1474</v>
      </c>
      <c r="I324" s="116" t="s">
        <v>1475</v>
      </c>
      <c r="J324" s="116" t="s">
        <v>1476</v>
      </c>
      <c r="K324" s="116" t="s">
        <v>1477</v>
      </c>
      <c r="L324" s="116" t="s">
        <v>1478</v>
      </c>
      <c r="M324" s="116" t="s">
        <v>1479</v>
      </c>
      <c r="N324" s="116" t="s">
        <v>1480</v>
      </c>
      <c r="O324" s="116" t="s">
        <v>1481</v>
      </c>
      <c r="P324" s="116" t="s">
        <v>1482</v>
      </c>
      <c r="Q324" s="116" t="s">
        <v>1483</v>
      </c>
      <c r="R324" s="7"/>
      <c r="S324" s="4"/>
    </row>
    <row r="325" spans="1:19" hidden="1" outlineLevel="1">
      <c r="A325" s="4"/>
      <c r="B325" s="4"/>
      <c r="C325" s="7"/>
      <c r="D325" s="705"/>
      <c r="E325" s="16" t="s">
        <v>1484</v>
      </c>
      <c r="F325" s="312">
        <f t="shared" ref="F325:Q325" si="42">F340</f>
        <v>6705.63</v>
      </c>
      <c r="G325" s="312">
        <f t="shared" si="42"/>
        <v>0</v>
      </c>
      <c r="H325" s="312">
        <f t="shared" si="42"/>
        <v>0</v>
      </c>
      <c r="I325" s="312">
        <f t="shared" si="42"/>
        <v>0</v>
      </c>
      <c r="J325" s="312">
        <f t="shared" si="42"/>
        <v>0</v>
      </c>
      <c r="K325" s="312">
        <f t="shared" si="42"/>
        <v>0</v>
      </c>
      <c r="L325" s="312">
        <f t="shared" si="42"/>
        <v>0</v>
      </c>
      <c r="M325" s="312">
        <f t="shared" si="42"/>
        <v>0</v>
      </c>
      <c r="N325" s="312">
        <f t="shared" si="42"/>
        <v>0</v>
      </c>
      <c r="O325" s="312">
        <f t="shared" si="42"/>
        <v>0</v>
      </c>
      <c r="P325" s="312">
        <f t="shared" si="42"/>
        <v>150</v>
      </c>
      <c r="Q325" s="312">
        <f t="shared" si="42"/>
        <v>6855.63</v>
      </c>
      <c r="R325" s="7"/>
      <c r="S325" s="4"/>
    </row>
    <row r="326" spans="1:19" hidden="1" outlineLevel="1">
      <c r="A326" s="4"/>
      <c r="B326" s="4"/>
      <c r="C326" s="7"/>
      <c r="D326" s="705"/>
      <c r="E326" s="16" t="s">
        <v>199</v>
      </c>
      <c r="F326" s="312">
        <f t="shared" ref="F326:Q326" si="43">F355</f>
        <v>9805.5400000000009</v>
      </c>
      <c r="G326" s="312">
        <f t="shared" si="43"/>
        <v>0</v>
      </c>
      <c r="H326" s="312">
        <f t="shared" si="43"/>
        <v>0</v>
      </c>
      <c r="I326" s="312">
        <f t="shared" si="43"/>
        <v>0</v>
      </c>
      <c r="J326" s="312">
        <f t="shared" si="43"/>
        <v>0</v>
      </c>
      <c r="K326" s="312">
        <f t="shared" si="43"/>
        <v>0</v>
      </c>
      <c r="L326" s="312">
        <f t="shared" si="43"/>
        <v>0</v>
      </c>
      <c r="M326" s="312">
        <f t="shared" si="43"/>
        <v>0</v>
      </c>
      <c r="N326" s="312">
        <f t="shared" si="43"/>
        <v>20</v>
      </c>
      <c r="O326" s="312">
        <f t="shared" si="43"/>
        <v>0</v>
      </c>
      <c r="P326" s="312">
        <f t="shared" si="43"/>
        <v>150</v>
      </c>
      <c r="Q326" s="312">
        <f t="shared" si="43"/>
        <v>9975.5400000000009</v>
      </c>
      <c r="R326" s="7"/>
      <c r="S326" s="4"/>
    </row>
    <row r="327" spans="1:19" hidden="1" outlineLevel="1">
      <c r="A327" s="4"/>
      <c r="B327" s="4"/>
      <c r="C327" s="7"/>
      <c r="D327" s="706"/>
      <c r="E327" s="16" t="s">
        <v>1485</v>
      </c>
      <c r="F327" s="312">
        <f>F326-F325</f>
        <v>3099.9100000000008</v>
      </c>
      <c r="G327" s="312">
        <f t="shared" ref="G327:Q327" si="44">G326-G325</f>
        <v>0</v>
      </c>
      <c r="H327" s="312">
        <f t="shared" si="44"/>
        <v>0</v>
      </c>
      <c r="I327" s="312">
        <f t="shared" si="44"/>
        <v>0</v>
      </c>
      <c r="J327" s="312">
        <f t="shared" si="44"/>
        <v>0</v>
      </c>
      <c r="K327" s="312">
        <f t="shared" si="44"/>
        <v>0</v>
      </c>
      <c r="L327" s="312">
        <f t="shared" si="44"/>
        <v>0</v>
      </c>
      <c r="M327" s="312">
        <f t="shared" si="44"/>
        <v>0</v>
      </c>
      <c r="N327" s="312">
        <f t="shared" si="44"/>
        <v>20</v>
      </c>
      <c r="O327" s="312">
        <f t="shared" si="44"/>
        <v>0</v>
      </c>
      <c r="P327" s="312">
        <f t="shared" si="44"/>
        <v>0</v>
      </c>
      <c r="Q327" s="312">
        <f t="shared" si="44"/>
        <v>3119.9100000000008</v>
      </c>
      <c r="R327" s="7"/>
      <c r="S327" s="4"/>
    </row>
    <row r="328" spans="1:19" hidden="1" outlineLevel="1">
      <c r="A328" s="4"/>
      <c r="B328" s="4"/>
      <c r="C328" s="7"/>
      <c r="D328" s="7"/>
      <c r="E328" s="7"/>
      <c r="F328" s="7"/>
      <c r="G328" s="7"/>
      <c r="H328" s="7"/>
      <c r="I328" s="7"/>
      <c r="J328" s="7"/>
      <c r="K328" s="7"/>
      <c r="L328" s="7"/>
      <c r="M328" s="7"/>
      <c r="N328" s="7"/>
      <c r="O328" s="7"/>
      <c r="P328" s="7"/>
      <c r="Q328" s="7"/>
      <c r="R328" s="7"/>
      <c r="S328" s="4"/>
    </row>
    <row r="329" spans="1:19" collapsed="1">
      <c r="A329" s="4"/>
      <c r="B329" s="4"/>
      <c r="C329" s="4"/>
      <c r="D329" s="4"/>
      <c r="E329" s="4"/>
      <c r="F329" s="4"/>
      <c r="G329" s="4"/>
      <c r="H329" s="4"/>
      <c r="I329" s="4"/>
      <c r="J329" s="4"/>
      <c r="K329" s="4"/>
      <c r="L329" s="4"/>
      <c r="M329" s="4"/>
      <c r="N329" s="4"/>
      <c r="O329" s="4"/>
      <c r="P329" s="4"/>
      <c r="Q329" s="4"/>
      <c r="R329" s="4"/>
      <c r="S329" s="4"/>
    </row>
    <row r="330" spans="1:19" ht="18.600000000000001">
      <c r="A330" s="102"/>
      <c r="B330" s="102"/>
      <c r="C330" s="562" t="s">
        <v>1506</v>
      </c>
      <c r="D330" s="102"/>
      <c r="E330" s="102"/>
      <c r="F330" s="102"/>
      <c r="G330" s="102"/>
      <c r="H330" s="102"/>
      <c r="I330" s="102"/>
      <c r="J330" s="102"/>
      <c r="K330" s="102"/>
      <c r="L330" s="102"/>
      <c r="M330" s="102"/>
      <c r="N330" s="102"/>
      <c r="O330" s="102"/>
      <c r="P330" s="102"/>
      <c r="Q330" s="102"/>
      <c r="R330" s="102"/>
      <c r="S330" s="4"/>
    </row>
    <row r="331" spans="1:19" hidden="1" outlineLevel="1">
      <c r="A331" s="4"/>
      <c r="B331" s="4"/>
      <c r="C331" s="4"/>
      <c r="D331" s="4"/>
      <c r="E331" s="4"/>
      <c r="F331" s="4"/>
      <c r="G331" s="4"/>
      <c r="H331" s="4"/>
      <c r="I331" s="4"/>
      <c r="J331" s="4"/>
      <c r="K331" s="4"/>
      <c r="L331" s="4"/>
      <c r="M331" s="4"/>
      <c r="N331" s="4"/>
      <c r="O331" s="4"/>
      <c r="P331" s="4"/>
      <c r="Q331" s="4"/>
      <c r="R331" s="4"/>
      <c r="S331" s="4"/>
    </row>
    <row r="332" spans="1:19" hidden="1" outlineLevel="1">
      <c r="A332" s="4"/>
      <c r="B332" s="4"/>
      <c r="C332" s="7"/>
      <c r="D332" s="7"/>
      <c r="E332" s="7"/>
      <c r="F332" s="7"/>
      <c r="G332" s="7"/>
      <c r="H332" s="7"/>
      <c r="I332" s="7"/>
      <c r="J332" s="7"/>
      <c r="K332" s="7"/>
      <c r="L332" s="7"/>
      <c r="M332" s="7"/>
      <c r="N332" s="7"/>
      <c r="O332" s="7"/>
      <c r="P332" s="7"/>
      <c r="Q332" s="7"/>
      <c r="R332" s="7"/>
      <c r="S332" s="4"/>
    </row>
    <row r="333" spans="1:19" ht="29.1" hidden="1" outlineLevel="1">
      <c r="A333" s="4"/>
      <c r="B333" s="4"/>
      <c r="C333" s="7"/>
      <c r="D333" s="116" t="s">
        <v>1361</v>
      </c>
      <c r="E333" s="116" t="s">
        <v>1487</v>
      </c>
      <c r="F333" s="116" t="s">
        <v>1472</v>
      </c>
      <c r="G333" s="116" t="s">
        <v>1473</v>
      </c>
      <c r="H333" s="116" t="s">
        <v>1474</v>
      </c>
      <c r="I333" s="116" t="s">
        <v>1475</v>
      </c>
      <c r="J333" s="116" t="s">
        <v>1476</v>
      </c>
      <c r="K333" s="116" t="s">
        <v>1477</v>
      </c>
      <c r="L333" s="116" t="s">
        <v>1478</v>
      </c>
      <c r="M333" s="116" t="s">
        <v>1479</v>
      </c>
      <c r="N333" s="116" t="s">
        <v>1480</v>
      </c>
      <c r="O333" s="116" t="s">
        <v>1481</v>
      </c>
      <c r="P333" s="116" t="s">
        <v>1482</v>
      </c>
      <c r="Q333" s="116" t="s">
        <v>1483</v>
      </c>
      <c r="R333" s="148"/>
      <c r="S333" s="4"/>
    </row>
    <row r="334" spans="1:19" hidden="1" outlineLevel="1">
      <c r="A334" s="4"/>
      <c r="B334" s="4"/>
      <c r="C334" s="7"/>
      <c r="D334" s="116" t="s">
        <v>1167</v>
      </c>
      <c r="E334" s="118" t="s">
        <v>1181</v>
      </c>
      <c r="F334" s="110">
        <v>135</v>
      </c>
      <c r="G334" s="110">
        <v>0</v>
      </c>
      <c r="H334" s="110">
        <v>0</v>
      </c>
      <c r="I334" s="110">
        <v>0</v>
      </c>
      <c r="J334" s="110">
        <v>0</v>
      </c>
      <c r="K334" s="110">
        <v>0</v>
      </c>
      <c r="L334" s="110">
        <v>0</v>
      </c>
      <c r="M334" s="110">
        <v>0</v>
      </c>
      <c r="N334" s="110">
        <v>0</v>
      </c>
      <c r="O334" s="110">
        <v>0</v>
      </c>
      <c r="P334" s="110">
        <v>25</v>
      </c>
      <c r="Q334" s="110">
        <f>SUM(Table47984101107[[#This Row],[Consumption (USD)]:[Vendor Support (USD)]])</f>
        <v>160</v>
      </c>
      <c r="R334" s="157"/>
      <c r="S334" s="4"/>
    </row>
    <row r="335" spans="1:19" hidden="1" outlineLevel="1">
      <c r="A335" s="4"/>
      <c r="B335" s="4"/>
      <c r="C335" s="7"/>
      <c r="D335" s="116" t="s">
        <v>1168</v>
      </c>
      <c r="E335" s="118" t="s">
        <v>1182</v>
      </c>
      <c r="F335" s="110">
        <v>100</v>
      </c>
      <c r="G335" s="110">
        <v>0</v>
      </c>
      <c r="H335" s="110">
        <v>0</v>
      </c>
      <c r="I335" s="110">
        <v>0</v>
      </c>
      <c r="J335" s="110">
        <v>0</v>
      </c>
      <c r="K335" s="115">
        <v>0</v>
      </c>
      <c r="L335" s="115">
        <v>0</v>
      </c>
      <c r="M335" s="115">
        <v>0</v>
      </c>
      <c r="N335" s="115">
        <v>0</v>
      </c>
      <c r="O335" s="115">
        <v>0</v>
      </c>
      <c r="P335" s="115">
        <v>25</v>
      </c>
      <c r="Q335" s="110">
        <f>SUM(Table47984101107[[#This Row],[Consumption (USD)]:[Vendor Support (USD)]])</f>
        <v>125</v>
      </c>
      <c r="R335" s="157"/>
      <c r="S335" s="4"/>
    </row>
    <row r="336" spans="1:19" hidden="1" outlineLevel="1">
      <c r="A336" s="4"/>
      <c r="B336" s="4"/>
      <c r="C336" s="7"/>
      <c r="D336" s="116" t="s">
        <v>975</v>
      </c>
      <c r="E336" s="118" t="s">
        <v>1183</v>
      </c>
      <c r="F336" s="115">
        <v>2592.5</v>
      </c>
      <c r="G336" s="110">
        <v>0</v>
      </c>
      <c r="H336" s="110">
        <v>0</v>
      </c>
      <c r="I336" s="110">
        <v>0</v>
      </c>
      <c r="J336" s="110">
        <v>0</v>
      </c>
      <c r="K336" s="115">
        <v>0</v>
      </c>
      <c r="L336" s="115">
        <v>0</v>
      </c>
      <c r="M336" s="115">
        <v>0</v>
      </c>
      <c r="N336" s="115">
        <v>0</v>
      </c>
      <c r="O336" s="115">
        <v>0</v>
      </c>
      <c r="P336" s="115">
        <v>25</v>
      </c>
      <c r="Q336" s="110">
        <f>SUM(Table47984101107[[#This Row],[Consumption (USD)]:[Vendor Support (USD)]])</f>
        <v>2617.5</v>
      </c>
      <c r="R336" s="157"/>
      <c r="S336" s="4"/>
    </row>
    <row r="337" spans="1:19" hidden="1" outlineLevel="1">
      <c r="A337" s="4"/>
      <c r="B337" s="4"/>
      <c r="C337" s="7"/>
      <c r="D337" s="116" t="s">
        <v>981</v>
      </c>
      <c r="E337" s="118" t="s">
        <v>1184</v>
      </c>
      <c r="F337" s="115">
        <v>2708.3</v>
      </c>
      <c r="G337" s="110">
        <v>0</v>
      </c>
      <c r="H337" s="110">
        <v>0</v>
      </c>
      <c r="I337" s="110">
        <v>0</v>
      </c>
      <c r="J337" s="110">
        <v>0</v>
      </c>
      <c r="K337" s="115">
        <v>0</v>
      </c>
      <c r="L337" s="115">
        <v>0</v>
      </c>
      <c r="M337" s="115">
        <v>0</v>
      </c>
      <c r="N337" s="115">
        <v>0</v>
      </c>
      <c r="O337" s="115">
        <v>0</v>
      </c>
      <c r="P337" s="115">
        <v>25</v>
      </c>
      <c r="Q337" s="110">
        <f>SUM(Table47984101107[[#This Row],[Consumption (USD)]:[Vendor Support (USD)]])</f>
        <v>2733.3</v>
      </c>
      <c r="R337" s="157"/>
      <c r="S337" s="4"/>
    </row>
    <row r="338" spans="1:19" hidden="1" outlineLevel="1">
      <c r="A338" s="4"/>
      <c r="B338" s="4"/>
      <c r="C338" s="7"/>
      <c r="D338" s="116" t="s">
        <v>979</v>
      </c>
      <c r="E338" s="118" t="s">
        <v>1184</v>
      </c>
      <c r="F338" s="115">
        <v>166.08</v>
      </c>
      <c r="G338" s="110">
        <v>0</v>
      </c>
      <c r="H338" s="110">
        <v>0</v>
      </c>
      <c r="I338" s="110">
        <v>0</v>
      </c>
      <c r="J338" s="110">
        <v>0</v>
      </c>
      <c r="K338" s="115">
        <v>0</v>
      </c>
      <c r="L338" s="115">
        <v>0</v>
      </c>
      <c r="M338" s="115">
        <v>0</v>
      </c>
      <c r="N338" s="115">
        <v>0</v>
      </c>
      <c r="O338" s="115">
        <v>0</v>
      </c>
      <c r="P338" s="115">
        <v>25</v>
      </c>
      <c r="Q338" s="110">
        <f>SUM(Table47984101107[[#This Row],[Consumption (USD)]:[Vendor Support (USD)]])</f>
        <v>191.08</v>
      </c>
      <c r="R338" s="157"/>
      <c r="S338" s="4"/>
    </row>
    <row r="339" spans="1:19" hidden="1" outlineLevel="1">
      <c r="A339" s="4"/>
      <c r="B339" s="4"/>
      <c r="C339" s="7"/>
      <c r="D339" s="116" t="s">
        <v>982</v>
      </c>
      <c r="E339" s="118" t="s">
        <v>1488</v>
      </c>
      <c r="F339" s="115">
        <v>1003.75</v>
      </c>
      <c r="G339" s="110">
        <v>0</v>
      </c>
      <c r="H339" s="110">
        <v>0</v>
      </c>
      <c r="I339" s="110">
        <v>0</v>
      </c>
      <c r="J339" s="110">
        <v>0</v>
      </c>
      <c r="K339" s="115">
        <v>0</v>
      </c>
      <c r="L339" s="115">
        <v>0</v>
      </c>
      <c r="M339" s="115">
        <v>0</v>
      </c>
      <c r="N339" s="115">
        <v>0</v>
      </c>
      <c r="O339" s="115">
        <v>0</v>
      </c>
      <c r="P339" s="115">
        <v>25</v>
      </c>
      <c r="Q339" s="110">
        <f>SUM(Table47984101107[[#This Row],[Consumption (USD)]:[Vendor Support (USD)]])</f>
        <v>1028.75</v>
      </c>
      <c r="R339" s="157"/>
      <c r="S339" s="4"/>
    </row>
    <row r="340" spans="1:19" hidden="1" outlineLevel="1">
      <c r="A340" s="4"/>
      <c r="B340" s="4"/>
      <c r="C340" s="7"/>
      <c r="D340" s="118"/>
      <c r="E340" s="118"/>
      <c r="F340" s="115">
        <f t="shared" ref="F340:P340" si="45">SUM(F334:F339)</f>
        <v>6705.63</v>
      </c>
      <c r="G340" s="115">
        <f t="shared" si="45"/>
        <v>0</v>
      </c>
      <c r="H340" s="115">
        <f t="shared" si="45"/>
        <v>0</v>
      </c>
      <c r="I340" s="115">
        <f t="shared" si="45"/>
        <v>0</v>
      </c>
      <c r="J340" s="115">
        <f t="shared" si="45"/>
        <v>0</v>
      </c>
      <c r="K340" s="115">
        <f t="shared" si="45"/>
        <v>0</v>
      </c>
      <c r="L340" s="115">
        <f t="shared" si="45"/>
        <v>0</v>
      </c>
      <c r="M340" s="115">
        <f t="shared" si="45"/>
        <v>0</v>
      </c>
      <c r="N340" s="115">
        <f t="shared" si="45"/>
        <v>0</v>
      </c>
      <c r="O340" s="115">
        <f t="shared" si="45"/>
        <v>0</v>
      </c>
      <c r="P340" s="115">
        <f t="shared" si="45"/>
        <v>150</v>
      </c>
      <c r="Q340" s="110">
        <f>SUM(Table47984101107[[#This Row],[Consumption (USD)]:[Vendor Support (USD)]])</f>
        <v>6855.63</v>
      </c>
      <c r="R340" s="158"/>
      <c r="S340" s="4"/>
    </row>
    <row r="341" spans="1:19" hidden="1" outlineLevel="1">
      <c r="A341" s="4"/>
      <c r="B341" s="4"/>
      <c r="C341" s="7"/>
      <c r="D341" s="146"/>
      <c r="E341" s="146"/>
      <c r="F341" s="146"/>
      <c r="G341" s="146"/>
      <c r="H341" s="146"/>
      <c r="I341" s="147"/>
      <c r="J341" s="148"/>
      <c r="K341" s="148"/>
      <c r="L341" s="148"/>
      <c r="M341" s="148"/>
      <c r="N341" s="149"/>
      <c r="O341" s="148"/>
      <c r="P341" s="149"/>
      <c r="Q341" s="150"/>
      <c r="R341" s="150"/>
      <c r="S341" s="155"/>
    </row>
    <row r="342" spans="1:19" collapsed="1">
      <c r="A342" s="4"/>
      <c r="B342" s="4"/>
      <c r="C342" s="4"/>
      <c r="D342" s="151"/>
      <c r="E342" s="151"/>
      <c r="F342" s="151"/>
      <c r="G342" s="151"/>
      <c r="H342" s="151"/>
      <c r="I342" s="152"/>
      <c r="J342" s="153"/>
      <c r="K342" s="153"/>
      <c r="L342" s="153"/>
      <c r="M342" s="153"/>
      <c r="N342" s="154"/>
      <c r="O342" s="153"/>
      <c r="P342" s="154"/>
      <c r="Q342" s="155"/>
      <c r="R342" s="155"/>
      <c r="S342" s="155"/>
    </row>
    <row r="343" spans="1:19" ht="18.600000000000001">
      <c r="A343" s="102"/>
      <c r="B343" s="102"/>
      <c r="C343" s="562" t="s">
        <v>1465</v>
      </c>
      <c r="D343" s="102"/>
      <c r="E343" s="102"/>
      <c r="F343" s="102"/>
      <c r="G343" s="102"/>
      <c r="H343" s="102"/>
      <c r="I343" s="102"/>
      <c r="J343" s="102"/>
      <c r="K343" s="102"/>
      <c r="L343" s="102"/>
      <c r="M343" s="102"/>
      <c r="N343" s="102"/>
      <c r="O343" s="102"/>
      <c r="P343" s="102"/>
      <c r="Q343" s="102"/>
      <c r="R343" s="102"/>
      <c r="S343" s="4"/>
    </row>
    <row r="344" spans="1:19" hidden="1" outlineLevel="1">
      <c r="A344" s="4"/>
      <c r="B344" s="4"/>
      <c r="C344" s="4"/>
      <c r="D344" s="4"/>
      <c r="E344" s="4"/>
      <c r="F344" s="4"/>
      <c r="G344" s="4"/>
      <c r="H344" s="4"/>
      <c r="I344" s="4"/>
      <c r="J344" s="4"/>
      <c r="K344" s="4"/>
      <c r="L344" s="4"/>
      <c r="M344" s="4"/>
      <c r="N344" s="4"/>
      <c r="O344" s="4"/>
      <c r="P344" s="4"/>
      <c r="Q344" s="4"/>
      <c r="R344" s="4"/>
      <c r="S344" s="4"/>
    </row>
    <row r="345" spans="1:19" hidden="1" outlineLevel="1">
      <c r="A345" s="4"/>
      <c r="B345" s="4"/>
      <c r="C345" s="7"/>
      <c r="D345" s="7"/>
      <c r="E345" s="7"/>
      <c r="F345" s="7"/>
      <c r="G345" s="7"/>
      <c r="H345" s="7"/>
      <c r="I345" s="7"/>
      <c r="J345" s="7"/>
      <c r="K345" s="7"/>
      <c r="L345" s="7"/>
      <c r="M345" s="7"/>
      <c r="N345" s="7"/>
      <c r="O345" s="7"/>
      <c r="P345" s="7"/>
      <c r="Q345" s="7"/>
      <c r="R345" s="7"/>
      <c r="S345" s="4"/>
    </row>
    <row r="346" spans="1:19" ht="29.1" hidden="1" outlineLevel="1">
      <c r="A346" s="4"/>
      <c r="B346" s="4"/>
      <c r="C346" s="7"/>
      <c r="D346" s="116" t="s">
        <v>1361</v>
      </c>
      <c r="E346" s="116" t="s">
        <v>1487</v>
      </c>
      <c r="F346" s="116" t="s">
        <v>1472</v>
      </c>
      <c r="G346" s="116" t="s">
        <v>1473</v>
      </c>
      <c r="H346" s="116" t="s">
        <v>1474</v>
      </c>
      <c r="I346" s="116" t="s">
        <v>1475</v>
      </c>
      <c r="J346" s="116" t="s">
        <v>1476</v>
      </c>
      <c r="K346" s="116" t="s">
        <v>1477</v>
      </c>
      <c r="L346" s="116" t="s">
        <v>1478</v>
      </c>
      <c r="M346" s="116" t="s">
        <v>1479</v>
      </c>
      <c r="N346" s="116" t="s">
        <v>1480</v>
      </c>
      <c r="O346" s="116" t="s">
        <v>1481</v>
      </c>
      <c r="P346" s="116" t="s">
        <v>1482</v>
      </c>
      <c r="Q346" s="116" t="s">
        <v>1483</v>
      </c>
      <c r="R346" s="148"/>
      <c r="S346" s="4"/>
    </row>
    <row r="347" spans="1:19" hidden="1" outlineLevel="1">
      <c r="A347" s="4"/>
      <c r="B347" s="4"/>
      <c r="C347" s="7"/>
      <c r="D347" s="116" t="s">
        <v>1167</v>
      </c>
      <c r="E347" s="116" t="s">
        <v>1181</v>
      </c>
      <c r="F347" s="110">
        <v>135</v>
      </c>
      <c r="G347" s="110">
        <v>0</v>
      </c>
      <c r="H347" s="110">
        <v>0</v>
      </c>
      <c r="I347" s="110">
        <v>0</v>
      </c>
      <c r="J347" s="110">
        <v>0</v>
      </c>
      <c r="K347" s="110">
        <v>0</v>
      </c>
      <c r="L347" s="110">
        <v>0</v>
      </c>
      <c r="M347" s="110">
        <v>0</v>
      </c>
      <c r="N347" s="110">
        <v>0</v>
      </c>
      <c r="O347" s="110">
        <v>0</v>
      </c>
      <c r="P347" s="110">
        <v>25</v>
      </c>
      <c r="Q347" s="110">
        <f>SUM(F347:P347)</f>
        <v>160</v>
      </c>
      <c r="R347" s="157"/>
      <c r="S347" s="4"/>
    </row>
    <row r="348" spans="1:19" hidden="1" outlineLevel="1">
      <c r="A348" s="4"/>
      <c r="B348" s="4"/>
      <c r="C348" s="7"/>
      <c r="D348" s="116" t="s">
        <v>1168</v>
      </c>
      <c r="E348" s="116" t="s">
        <v>1182</v>
      </c>
      <c r="F348" s="110">
        <v>100</v>
      </c>
      <c r="G348" s="110">
        <v>0</v>
      </c>
      <c r="H348" s="110">
        <v>0</v>
      </c>
      <c r="I348" s="110">
        <v>0</v>
      </c>
      <c r="J348" s="110">
        <v>0</v>
      </c>
      <c r="K348" s="110">
        <v>0</v>
      </c>
      <c r="L348" s="110">
        <v>0</v>
      </c>
      <c r="M348" s="110">
        <v>0</v>
      </c>
      <c r="N348" s="110">
        <v>0</v>
      </c>
      <c r="O348" s="110">
        <v>0</v>
      </c>
      <c r="P348" s="110">
        <v>25</v>
      </c>
      <c r="Q348" s="110">
        <f t="shared" ref="Q348:Q355" si="46">SUM(F348:P348)</f>
        <v>125</v>
      </c>
      <c r="R348" s="157"/>
      <c r="S348" s="4"/>
    </row>
    <row r="349" spans="1:19" hidden="1" outlineLevel="1">
      <c r="A349" s="4"/>
      <c r="B349" s="4"/>
      <c r="C349" s="7"/>
      <c r="D349" s="116" t="s">
        <v>978</v>
      </c>
      <c r="E349" s="116" t="s">
        <v>1184</v>
      </c>
      <c r="F349" s="110">
        <v>341.33</v>
      </c>
      <c r="G349" s="110">
        <v>0</v>
      </c>
      <c r="H349" s="110">
        <v>0</v>
      </c>
      <c r="I349" s="110">
        <v>0</v>
      </c>
      <c r="J349" s="110">
        <v>0</v>
      </c>
      <c r="K349" s="110">
        <v>0</v>
      </c>
      <c r="L349" s="110">
        <v>0</v>
      </c>
      <c r="M349" s="110">
        <v>0</v>
      </c>
      <c r="N349" s="110">
        <v>0</v>
      </c>
      <c r="O349" s="110">
        <v>0</v>
      </c>
      <c r="P349" s="110">
        <v>0</v>
      </c>
      <c r="Q349" s="110">
        <f t="shared" si="46"/>
        <v>341.33</v>
      </c>
      <c r="R349" s="157"/>
      <c r="S349" s="4"/>
    </row>
    <row r="350" spans="1:19" hidden="1" outlineLevel="1">
      <c r="A350" s="4"/>
      <c r="B350" s="4"/>
      <c r="C350" s="7"/>
      <c r="D350" s="116" t="s">
        <v>1492</v>
      </c>
      <c r="E350" s="116" t="s">
        <v>1395</v>
      </c>
      <c r="F350" s="110">
        <v>0</v>
      </c>
      <c r="G350" s="110">
        <v>0</v>
      </c>
      <c r="H350" s="110">
        <v>0</v>
      </c>
      <c r="I350" s="110">
        <v>0</v>
      </c>
      <c r="J350" s="110">
        <v>0</v>
      </c>
      <c r="K350" s="110">
        <v>0</v>
      </c>
      <c r="L350" s="110">
        <v>0</v>
      </c>
      <c r="M350" s="110">
        <v>0</v>
      </c>
      <c r="N350" s="110">
        <v>0</v>
      </c>
      <c r="O350" s="110">
        <v>0</v>
      </c>
      <c r="P350" s="110">
        <v>0</v>
      </c>
      <c r="Q350" s="110">
        <f t="shared" si="46"/>
        <v>0</v>
      </c>
      <c r="R350" s="157"/>
      <c r="S350" s="4"/>
    </row>
    <row r="351" spans="1:19" hidden="1" outlineLevel="1">
      <c r="A351" s="4"/>
      <c r="B351" s="4"/>
      <c r="C351" s="7"/>
      <c r="D351" s="116" t="s">
        <v>975</v>
      </c>
      <c r="E351" s="116" t="s">
        <v>1183</v>
      </c>
      <c r="F351" s="110">
        <f>2592.5*2</f>
        <v>5185</v>
      </c>
      <c r="G351" s="110">
        <v>0</v>
      </c>
      <c r="H351" s="110">
        <v>0</v>
      </c>
      <c r="I351" s="110">
        <v>0</v>
      </c>
      <c r="J351" s="110">
        <v>0</v>
      </c>
      <c r="K351" s="110">
        <v>0</v>
      </c>
      <c r="L351" s="110">
        <v>0</v>
      </c>
      <c r="M351" s="110">
        <v>0</v>
      </c>
      <c r="N351" s="110">
        <v>10</v>
      </c>
      <c r="O351" s="110">
        <v>0</v>
      </c>
      <c r="P351" s="110">
        <v>25</v>
      </c>
      <c r="Q351" s="110">
        <f t="shared" si="46"/>
        <v>5220</v>
      </c>
      <c r="R351" s="157"/>
      <c r="S351" s="4"/>
    </row>
    <row r="352" spans="1:19" hidden="1" outlineLevel="1">
      <c r="A352" s="4"/>
      <c r="B352" s="4"/>
      <c r="C352" s="7"/>
      <c r="D352" s="116" t="s">
        <v>981</v>
      </c>
      <c r="E352" s="116" t="s">
        <v>1184</v>
      </c>
      <c r="F352" s="110">
        <v>2708.3</v>
      </c>
      <c r="G352" s="110">
        <v>0</v>
      </c>
      <c r="H352" s="110">
        <v>0</v>
      </c>
      <c r="I352" s="110">
        <v>0</v>
      </c>
      <c r="J352" s="110">
        <v>0</v>
      </c>
      <c r="K352" s="110">
        <v>0</v>
      </c>
      <c r="L352" s="110">
        <v>0</v>
      </c>
      <c r="M352" s="110">
        <v>0</v>
      </c>
      <c r="N352" s="110">
        <v>0</v>
      </c>
      <c r="O352" s="110">
        <v>0</v>
      </c>
      <c r="P352" s="110">
        <v>25</v>
      </c>
      <c r="Q352" s="110">
        <f t="shared" si="46"/>
        <v>2733.3</v>
      </c>
      <c r="R352" s="157"/>
      <c r="S352" s="4"/>
    </row>
    <row r="353" spans="1:19" hidden="1" outlineLevel="1">
      <c r="A353" s="4"/>
      <c r="B353" s="4"/>
      <c r="C353" s="7"/>
      <c r="D353" s="116" t="s">
        <v>979</v>
      </c>
      <c r="E353" s="116" t="s">
        <v>1184</v>
      </c>
      <c r="F353" s="110">
        <f>166.08*2</f>
        <v>332.16</v>
      </c>
      <c r="G353" s="110">
        <v>0</v>
      </c>
      <c r="H353" s="110">
        <v>0</v>
      </c>
      <c r="I353" s="110">
        <v>0</v>
      </c>
      <c r="J353" s="110">
        <v>0</v>
      </c>
      <c r="K353" s="110">
        <v>0</v>
      </c>
      <c r="L353" s="110">
        <v>0</v>
      </c>
      <c r="M353" s="110">
        <v>0</v>
      </c>
      <c r="N353" s="110">
        <v>0</v>
      </c>
      <c r="O353" s="110">
        <v>0</v>
      </c>
      <c r="P353" s="110">
        <v>25</v>
      </c>
      <c r="Q353" s="110">
        <f t="shared" si="46"/>
        <v>357.16</v>
      </c>
      <c r="R353" s="157"/>
      <c r="S353" s="4"/>
    </row>
    <row r="354" spans="1:19" hidden="1" outlineLevel="1">
      <c r="A354" s="4"/>
      <c r="B354" s="4"/>
      <c r="C354" s="7"/>
      <c r="D354" s="116" t="s">
        <v>982</v>
      </c>
      <c r="E354" s="116" t="s">
        <v>1488</v>
      </c>
      <c r="F354" s="110">
        <v>1003.75</v>
      </c>
      <c r="G354" s="110">
        <v>0</v>
      </c>
      <c r="H354" s="110">
        <v>0</v>
      </c>
      <c r="I354" s="110">
        <v>0</v>
      </c>
      <c r="J354" s="110">
        <v>0</v>
      </c>
      <c r="K354" s="110">
        <v>0</v>
      </c>
      <c r="L354" s="110">
        <v>0</v>
      </c>
      <c r="M354" s="110">
        <v>0</v>
      </c>
      <c r="N354" s="110">
        <v>10</v>
      </c>
      <c r="O354" s="110">
        <v>0</v>
      </c>
      <c r="P354" s="110">
        <v>25</v>
      </c>
      <c r="Q354" s="110">
        <f t="shared" si="46"/>
        <v>1038.75</v>
      </c>
      <c r="R354" s="157"/>
      <c r="S354" s="4"/>
    </row>
    <row r="355" spans="1:19" hidden="1" outlineLevel="1">
      <c r="A355" s="4"/>
      <c r="B355" s="4"/>
      <c r="C355" s="7"/>
      <c r="D355" s="116"/>
      <c r="E355" s="116"/>
      <c r="F355" s="110">
        <f t="shared" ref="F355:P355" si="47">SUM(F347:F354)</f>
        <v>9805.5400000000009</v>
      </c>
      <c r="G355" s="110">
        <f t="shared" si="47"/>
        <v>0</v>
      </c>
      <c r="H355" s="110">
        <f t="shared" si="47"/>
        <v>0</v>
      </c>
      <c r="I355" s="110">
        <f t="shared" si="47"/>
        <v>0</v>
      </c>
      <c r="J355" s="110">
        <f t="shared" si="47"/>
        <v>0</v>
      </c>
      <c r="K355" s="110">
        <f t="shared" si="47"/>
        <v>0</v>
      </c>
      <c r="L355" s="110">
        <f t="shared" si="47"/>
        <v>0</v>
      </c>
      <c r="M355" s="110">
        <f t="shared" si="47"/>
        <v>0</v>
      </c>
      <c r="N355" s="110">
        <f t="shared" si="47"/>
        <v>20</v>
      </c>
      <c r="O355" s="110">
        <f t="shared" si="47"/>
        <v>0</v>
      </c>
      <c r="P355" s="110">
        <f t="shared" si="47"/>
        <v>150</v>
      </c>
      <c r="Q355" s="110">
        <f t="shared" si="46"/>
        <v>9975.5400000000009</v>
      </c>
      <c r="R355" s="158"/>
      <c r="S355" s="4"/>
    </row>
    <row r="356" spans="1:19" hidden="1" outlineLevel="1">
      <c r="A356" s="4"/>
      <c r="B356" s="4"/>
      <c r="C356" s="7"/>
      <c r="D356" s="7"/>
      <c r="E356" s="7"/>
      <c r="F356" s="7"/>
      <c r="G356" s="7"/>
      <c r="H356" s="7"/>
      <c r="I356" s="7"/>
      <c r="J356" s="7"/>
      <c r="K356" s="7"/>
      <c r="L356" s="7"/>
      <c r="M356" s="7"/>
      <c r="N356" s="7"/>
      <c r="O356" s="7"/>
      <c r="P356" s="7"/>
      <c r="Q356" s="7"/>
      <c r="R356" s="7"/>
      <c r="S356" s="4"/>
    </row>
    <row r="357" spans="1:19" collapsed="1">
      <c r="A357" s="4"/>
      <c r="B357" s="4"/>
      <c r="C357" s="4"/>
      <c r="D357" s="4"/>
      <c r="E357" s="4"/>
      <c r="F357" s="4"/>
      <c r="G357" s="4"/>
      <c r="H357" s="4"/>
      <c r="I357" s="4"/>
      <c r="J357" s="4"/>
      <c r="K357" s="4"/>
      <c r="L357" s="4"/>
      <c r="M357" s="4"/>
      <c r="N357" s="4"/>
      <c r="O357" s="4"/>
      <c r="P357" s="4"/>
      <c r="Q357" s="4"/>
      <c r="R357" s="4"/>
      <c r="S357" s="4"/>
    </row>
    <row r="358" spans="1:19" ht="18.600000000000001">
      <c r="A358" s="102"/>
      <c r="B358" s="102"/>
      <c r="C358" s="102" t="s">
        <v>78</v>
      </c>
      <c r="D358" s="102"/>
      <c r="E358" s="102"/>
      <c r="F358" s="102"/>
      <c r="G358" s="102"/>
      <c r="H358" s="102"/>
      <c r="I358" s="102"/>
      <c r="J358" s="102"/>
      <c r="K358" s="102"/>
      <c r="L358" s="102"/>
      <c r="M358" s="102"/>
      <c r="N358" s="102"/>
      <c r="O358" s="102"/>
      <c r="P358" s="102"/>
      <c r="Q358" s="102"/>
      <c r="R358" s="102"/>
      <c r="S358" s="102"/>
    </row>
    <row r="359" spans="1:19" outlineLevel="1">
      <c r="A359" s="4"/>
      <c r="B359" s="4"/>
      <c r="C359" s="4"/>
      <c r="D359" s="4"/>
      <c r="E359" s="4"/>
      <c r="F359" s="4"/>
      <c r="G359" s="4"/>
      <c r="H359" s="4"/>
      <c r="I359" s="4"/>
      <c r="J359" s="4"/>
      <c r="K359" s="4"/>
      <c r="L359" s="4"/>
      <c r="M359" s="4"/>
      <c r="N359" s="4"/>
      <c r="O359" s="4"/>
      <c r="P359" s="4"/>
      <c r="Q359" s="4"/>
      <c r="R359" s="4"/>
      <c r="S359" s="4"/>
    </row>
    <row r="360" spans="1:19" outlineLevel="1">
      <c r="A360" s="4"/>
      <c r="B360" s="4"/>
      <c r="C360" s="70" t="s">
        <v>1507</v>
      </c>
      <c r="D360" s="7"/>
      <c r="E360" s="7"/>
      <c r="F360" s="7"/>
      <c r="G360" s="7"/>
      <c r="H360" s="7"/>
      <c r="I360" s="7"/>
      <c r="J360" s="7"/>
      <c r="K360" s="7"/>
      <c r="L360" s="7"/>
      <c r="M360" s="7"/>
      <c r="N360" s="7"/>
      <c r="O360" s="7"/>
      <c r="P360" s="7"/>
      <c r="Q360" s="7"/>
      <c r="R360" s="7"/>
      <c r="S360" s="4"/>
    </row>
    <row r="361" spans="1:19">
      <c r="A361" s="4"/>
      <c r="B361" s="4"/>
      <c r="C361" s="4"/>
      <c r="D361" s="4"/>
      <c r="E361" s="4"/>
      <c r="F361" s="4"/>
      <c r="G361" s="4"/>
      <c r="H361" s="4"/>
      <c r="I361" s="4"/>
      <c r="J361" s="4"/>
      <c r="K361" s="4"/>
      <c r="L361" s="4"/>
      <c r="M361" s="4"/>
      <c r="N361" s="4"/>
      <c r="O361" s="4"/>
      <c r="P361" s="4"/>
      <c r="Q361" s="4"/>
      <c r="R361" s="4"/>
      <c r="S361" s="4"/>
    </row>
  </sheetData>
  <mergeCells count="28">
    <mergeCell ref="D244:D247"/>
    <mergeCell ref="D285:D288"/>
    <mergeCell ref="D324:D327"/>
    <mergeCell ref="D31:D34"/>
    <mergeCell ref="D80:D83"/>
    <mergeCell ref="D119:D122"/>
    <mergeCell ref="D156:D159"/>
    <mergeCell ref="D199:D202"/>
    <mergeCell ref="E15:G15"/>
    <mergeCell ref="C2:N2"/>
    <mergeCell ref="O2:R2"/>
    <mergeCell ref="C3:N3"/>
    <mergeCell ref="O3:R3"/>
    <mergeCell ref="E6:G6"/>
    <mergeCell ref="E7:G7"/>
    <mergeCell ref="E8:G8"/>
    <mergeCell ref="E9:G9"/>
    <mergeCell ref="E10:G10"/>
    <mergeCell ref="E11:G11"/>
    <mergeCell ref="E12:G12"/>
    <mergeCell ref="E13:G13"/>
    <mergeCell ref="E14:G14"/>
    <mergeCell ref="E21:G21"/>
    <mergeCell ref="E16:G16"/>
    <mergeCell ref="E17:G17"/>
    <mergeCell ref="E18:G18"/>
    <mergeCell ref="E19:G19"/>
    <mergeCell ref="E20:G20"/>
  </mergeCells>
  <phoneticPr fontId="65"/>
  <conditionalFormatting sqref="F34:Q34">
    <cfRule type="cellIs" dxfId="1077" priority="24" operator="greaterThan">
      <formula>0</formula>
    </cfRule>
    <cfRule type="cellIs" dxfId="1076" priority="23" operator="equal">
      <formula>0</formula>
    </cfRule>
    <cfRule type="cellIs" dxfId="1075" priority="22" operator="lessThan">
      <formula>0</formula>
    </cfRule>
  </conditionalFormatting>
  <conditionalFormatting sqref="F83:Q83">
    <cfRule type="cellIs" dxfId="1074" priority="21" operator="greaterThan">
      <formula>0</formula>
    </cfRule>
    <cfRule type="cellIs" dxfId="1073" priority="20" operator="equal">
      <formula>0</formula>
    </cfRule>
    <cfRule type="cellIs" dxfId="1072" priority="19" operator="lessThan">
      <formula>0</formula>
    </cfRule>
  </conditionalFormatting>
  <conditionalFormatting sqref="F122:Q122">
    <cfRule type="cellIs" dxfId="1071" priority="17" operator="equal">
      <formula>0</formula>
    </cfRule>
    <cfRule type="cellIs" dxfId="1070" priority="18" operator="greaterThan">
      <formula>0</formula>
    </cfRule>
    <cfRule type="cellIs" dxfId="1069" priority="16" operator="lessThan">
      <formula>0</formula>
    </cfRule>
  </conditionalFormatting>
  <conditionalFormatting sqref="F159:Q159">
    <cfRule type="cellIs" dxfId="1068" priority="14" operator="equal">
      <formula>0</formula>
    </cfRule>
    <cfRule type="cellIs" dxfId="1067" priority="13" operator="lessThan">
      <formula>0</formula>
    </cfRule>
    <cfRule type="cellIs" dxfId="1066" priority="15" operator="greaterThan">
      <formula>0</formula>
    </cfRule>
  </conditionalFormatting>
  <conditionalFormatting sqref="F202:Q202">
    <cfRule type="cellIs" dxfId="1065" priority="12" operator="greaterThan">
      <formula>0</formula>
    </cfRule>
    <cfRule type="cellIs" dxfId="1064" priority="11" operator="equal">
      <formula>0</formula>
    </cfRule>
    <cfRule type="cellIs" dxfId="1063" priority="10" operator="lessThan">
      <formula>0</formula>
    </cfRule>
  </conditionalFormatting>
  <conditionalFormatting sqref="F247:Q247">
    <cfRule type="cellIs" dxfId="1062" priority="9" operator="greaterThan">
      <formula>0</formula>
    </cfRule>
    <cfRule type="cellIs" dxfId="1061" priority="8" operator="equal">
      <formula>0</formula>
    </cfRule>
    <cfRule type="cellIs" dxfId="1060" priority="7" operator="lessThan">
      <formula>0</formula>
    </cfRule>
  </conditionalFormatting>
  <conditionalFormatting sqref="F288:Q288">
    <cfRule type="cellIs" dxfId="1059" priority="6" operator="greaterThan">
      <formula>0</formula>
    </cfRule>
    <cfRule type="cellIs" dxfId="1058" priority="5" operator="equal">
      <formula>0</formula>
    </cfRule>
    <cfRule type="cellIs" dxfId="1057" priority="4" operator="lessThan">
      <formula>0</formula>
    </cfRule>
  </conditionalFormatting>
  <conditionalFormatting sqref="F327:Q327">
    <cfRule type="cellIs" dxfId="1056" priority="3" operator="greaterThan">
      <formula>0</formula>
    </cfRule>
    <cfRule type="cellIs" dxfId="1055" priority="2" operator="equal">
      <formula>0</formula>
    </cfRule>
    <cfRule type="cellIs" dxfId="1054" priority="1" operator="lessThan">
      <formula>0</formula>
    </cfRule>
  </conditionalFormatting>
  <dataValidations count="2">
    <dataValidation allowBlank="1" showErrorMessage="1" sqref="L53 D70 F41:R51 F58:R70 L97 D109 L135 D146 L175 D189 L219 D234 L262 D275 L302 D314 L342 D355 F90:R95 F102:R109 F129:R133 F140:R146 F166:R173 F180:R189 F209:R217 F224:R234 F254:R260 F267:R275 F295:R300 F307:R314 F334:R340 F347:R355" xr:uid="{923C3304-4BEA-4CA4-B908-9C6174DAEF33}"/>
    <dataValidation allowBlank="1" showInputMessage="1" showErrorMessage="1" prompt="Azure Chaos Studio is launched into public preview as of November 2021 and is temporarily provided free of charge. Refer to the pricing page for the latest information." sqref="O40 O57 O31 O89 O101 O80 O128 O139 O119 O165 O179 O156 O208 O223 O199 O253 O266 O244 O294 O306 O285 O333 O346 O324" xr:uid="{1B036B38-A8D8-4F48-9D8E-CDEBA6453249}"/>
  </dataValidations>
  <hyperlinks>
    <hyperlink ref="E21" r:id="rId1" display="https://learn.microsoft.com/en-us/azure/architecture/web-apps/app-service/architectures/multi-region" xr:uid="{B8D8D146-291C-4BBF-B63B-5F790A640B51}"/>
    <hyperlink ref="C360" r:id="rId2" xr:uid="{53847D6B-08B6-4E04-B12F-75F6D5BA0083}"/>
  </hyperlinks>
  <pageMargins left="0.7" right="0.7" top="0.75" bottom="0.75" header="0.3" footer="0.3"/>
  <pageSetup orientation="portrait" r:id="rId3"/>
  <drawing r:id="rId4"/>
  <tableParts count="2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 r:id="rId27"/>
    <tablePart r:id="rId28"/>
  </tableParts>
  <extLst>
    <ext xmlns:x14="http://schemas.microsoft.com/office/spreadsheetml/2009/9/main" uri="{78C0D931-6437-407d-A8EE-F0AAD7539E65}">
      <x14:conditionalFormattings>
        <x14:conditionalFormatting xmlns:xm="http://schemas.microsoft.com/office/excel/2006/main">
          <x14:cfRule type="cellIs" priority="34" operator="equal" id="{8C323454-BDC0-4C95-82C9-2DD807B18F22}">
            <xm:f>Data!$L$6+Data!$L$14</xm:f>
            <x14:dxf>
              <font>
                <color theme="0"/>
              </font>
              <fill>
                <patternFill>
                  <bgColor rgb="FF747474"/>
                </patternFill>
              </fill>
            </x14:dxf>
          </x14:cfRule>
          <x14:cfRule type="cellIs" priority="32" operator="equal" id="{54F67B1D-1725-44F6-B09D-E775B67D134C}">
            <xm:f>Data!$L$7</xm:f>
            <x14:dxf>
              <font>
                <color theme="1"/>
              </font>
              <fill>
                <patternFill>
                  <bgColor rgb="FFFFB900"/>
                </patternFill>
              </fill>
            </x14:dxf>
          </x14:cfRule>
          <x14:cfRule type="cellIs" priority="31" operator="equal" id="{B2122C81-B185-455E-AF80-DCFB4D278A8B}">
            <xm:f>Data!$L$8</xm:f>
            <x14:dxf>
              <font>
                <color theme="1"/>
              </font>
              <fill>
                <patternFill>
                  <bgColor rgb="FF00A4EF"/>
                </patternFill>
              </fill>
            </x14:dxf>
          </x14:cfRule>
          <x14:cfRule type="cellIs" priority="30" operator="equal" id="{C21D5EE9-501B-45D2-8515-9E2E4FD15854}">
            <xm:f>Data!$L$9</xm:f>
            <x14:dxf>
              <font>
                <color theme="1"/>
              </font>
              <fill>
                <patternFill>
                  <bgColor rgb="FF7FBA00"/>
                </patternFill>
              </fill>
            </x14:dxf>
          </x14:cfRule>
          <x14:cfRule type="cellIs" priority="29" operator="equal" id="{9230EE37-7F09-4D93-AB57-CFFFAE148DCB}">
            <xm:f>Data!$L$6</xm:f>
            <x14:dxf>
              <font>
                <color theme="0"/>
              </font>
              <fill>
                <patternFill>
                  <bgColor rgb="FFF25022"/>
                </patternFill>
              </fill>
            </x14:dxf>
          </x14:cfRule>
          <x14:cfRule type="cellIs" priority="28" operator="equal" id="{87DFED10-6E7C-49A9-A1FE-E4E2648B28B2}">
            <xm:f>Data!$L$10</xm:f>
            <x14:dxf>
              <font>
                <color theme="0"/>
              </font>
              <fill>
                <patternFill>
                  <bgColor rgb="FFF25022"/>
                </patternFill>
              </fill>
            </x14:dxf>
          </x14:cfRule>
          <x14:cfRule type="cellIs" priority="27" operator="equal" id="{48748E71-FE26-4E18-B5BD-2AAE5A62588F}">
            <xm:f>Data!$L$11</xm:f>
            <x14:dxf>
              <font>
                <color theme="0"/>
              </font>
              <fill>
                <patternFill>
                  <bgColor rgb="FFF25022"/>
                </patternFill>
              </fill>
            </x14:dxf>
          </x14:cfRule>
          <x14:cfRule type="cellIs" priority="26" operator="equal" id="{7EF54B57-7CDC-42B4-A3EC-8985E72A7178}">
            <xm:f>Data!$L$12</xm:f>
            <x14:dxf>
              <font>
                <color theme="0"/>
              </font>
              <fill>
                <patternFill>
                  <bgColor rgb="FFF25022"/>
                </patternFill>
              </fill>
            </x14:dxf>
          </x14:cfRule>
          <x14:cfRule type="cellIs" priority="25" operator="equal" id="{76890A2B-596E-473C-A53B-194FD69C7C83}">
            <xm:f>Data!$L$13</xm:f>
            <x14:dxf>
              <font>
                <color theme="0"/>
              </font>
              <fill>
                <patternFill>
                  <bgColor rgb="FFF25022"/>
                </patternFill>
              </fill>
            </x14:dxf>
          </x14:cfRule>
          <x14:cfRule type="cellIs" priority="33" operator="equal" id="{0831F47F-1C7C-42DC-9192-9867013F2843}">
            <xm:f>Data!$L$5</xm:f>
            <x14:dxf>
              <font>
                <color theme="0"/>
              </font>
              <fill>
                <patternFill>
                  <bgColor rgb="FFF25022"/>
                </patternFill>
              </fill>
            </x14:dxf>
          </x14:cfRule>
          <xm:sqref>E14:E15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2B2EFAD1-E8E3-4491-A17D-C6F1CCD8256B}">
          <x14:formula1>
            <xm:f>Data!$H$22:$H$23</xm:f>
          </x14:formula1>
          <xm:sqref>K52:K53 L52 K96:K97 L96 K134:K135 L134 K174:K175 L174 K218:K219 L218 K261:K262 L261 K301:K302 L301 K341:K342 L341</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26CCFC-9D61-40DE-ACF0-2404F15D9F03}">
  <sheetPr>
    <tabColor rgb="FFFFB900"/>
  </sheetPr>
  <dimension ref="A1:AA107"/>
  <sheetViews>
    <sheetView showGridLines="0" showRowColHeaders="0" zoomScale="70" zoomScaleNormal="70" workbookViewId="0">
      <selection activeCell="A8" sqref="A8"/>
    </sheetView>
  </sheetViews>
  <sheetFormatPr defaultColWidth="0" defaultRowHeight="14.45" customHeight="1" zeroHeight="1" outlineLevelRow="1"/>
  <cols>
    <col min="1" max="2" width="5.85546875" customWidth="1"/>
    <col min="3" max="3" width="3.85546875" customWidth="1"/>
    <col min="4" max="4" width="47.42578125" bestFit="1" customWidth="1"/>
    <col min="5" max="5" width="65.42578125" customWidth="1"/>
    <col min="6" max="6" width="72.5703125" bestFit="1" customWidth="1"/>
    <col min="7" max="7" width="95.85546875" customWidth="1"/>
    <col min="8" max="8" width="10.140625" customWidth="1"/>
    <col min="9" max="9" width="64.42578125" customWidth="1"/>
    <col min="10" max="10" width="4.85546875" customWidth="1"/>
    <col min="11" max="11" width="3.85546875" customWidth="1"/>
    <col min="12" max="25" width="46.85546875" hidden="1" customWidth="1"/>
    <col min="26" max="26" width="38.5703125" hidden="1" customWidth="1"/>
    <col min="27" max="27" width="3.140625" hidden="1" customWidth="1"/>
    <col min="28" max="16384" width="46.85546875" hidden="1"/>
  </cols>
  <sheetData>
    <row r="1" spans="1:11">
      <c r="A1" s="4"/>
      <c r="B1" s="4"/>
      <c r="C1" s="4"/>
      <c r="D1" s="4"/>
      <c r="E1" s="4"/>
      <c r="F1" s="4"/>
      <c r="G1" s="4"/>
      <c r="H1" s="4"/>
      <c r="I1" s="4"/>
      <c r="J1" s="4"/>
      <c r="K1" s="4"/>
    </row>
    <row r="2" spans="1:11" ht="21">
      <c r="A2" s="4"/>
      <c r="B2" s="4"/>
      <c r="C2" s="618" t="s">
        <v>1508</v>
      </c>
      <c r="D2" s="618"/>
      <c r="E2" s="618"/>
      <c r="F2" s="618"/>
      <c r="G2" s="618"/>
      <c r="H2" s="618"/>
      <c r="I2" s="618"/>
      <c r="J2" s="618"/>
      <c r="K2" s="4"/>
    </row>
    <row r="3" spans="1:11" ht="14.45" customHeight="1">
      <c r="A3" s="88"/>
      <c r="B3" s="88"/>
      <c r="C3" s="646" t="s">
        <v>1509</v>
      </c>
      <c r="D3" s="646"/>
      <c r="E3" s="646"/>
      <c r="F3" s="646"/>
      <c r="G3" s="646"/>
      <c r="H3" s="646"/>
      <c r="I3" s="646"/>
      <c r="J3" s="646"/>
      <c r="K3" s="4"/>
    </row>
    <row r="4" spans="1:11">
      <c r="A4" s="4"/>
      <c r="B4" s="4"/>
      <c r="C4" s="4"/>
      <c r="D4" s="4"/>
      <c r="E4" s="4"/>
      <c r="F4" s="4"/>
      <c r="G4" s="4"/>
      <c r="H4" s="4"/>
      <c r="I4" s="4"/>
      <c r="J4" s="4"/>
      <c r="K4" s="4"/>
    </row>
    <row r="5" spans="1:11">
      <c r="A5" s="4"/>
      <c r="B5" s="4"/>
      <c r="C5" s="7"/>
      <c r="D5" s="7"/>
      <c r="E5" s="7"/>
      <c r="F5" s="7"/>
      <c r="G5" s="7"/>
      <c r="H5" s="7"/>
      <c r="I5" s="7"/>
      <c r="J5" s="7"/>
      <c r="K5" s="4"/>
    </row>
    <row r="6" spans="1:11">
      <c r="A6" s="4"/>
      <c r="B6" s="4"/>
      <c r="C6" s="7"/>
      <c r="D6" s="107" t="s">
        <v>890</v>
      </c>
      <c r="E6" s="244" t="s">
        <v>891</v>
      </c>
      <c r="F6" s="7"/>
      <c r="G6" s="7"/>
      <c r="H6" s="7"/>
      <c r="I6" s="7"/>
      <c r="J6" s="7"/>
      <c r="K6" s="4"/>
    </row>
    <row r="7" spans="1:11">
      <c r="A7" s="4"/>
      <c r="B7" s="4"/>
      <c r="C7" s="7"/>
      <c r="D7" s="107" t="s">
        <v>892</v>
      </c>
      <c r="E7" s="244" t="s">
        <v>893</v>
      </c>
      <c r="F7" s="7"/>
      <c r="G7" s="7"/>
      <c r="H7" s="7"/>
      <c r="I7" s="7"/>
      <c r="J7" s="7"/>
      <c r="K7" s="4"/>
    </row>
    <row r="8" spans="1:11">
      <c r="A8" s="4"/>
      <c r="B8" s="4"/>
      <c r="C8" s="7"/>
      <c r="D8" s="107" t="s">
        <v>117</v>
      </c>
      <c r="E8" s="244" t="s">
        <v>894</v>
      </c>
      <c r="F8" s="7"/>
      <c r="G8" s="7"/>
      <c r="H8" s="7"/>
      <c r="I8" s="7"/>
      <c r="J8" s="7"/>
      <c r="K8" s="4"/>
    </row>
    <row r="9" spans="1:11">
      <c r="A9" s="4"/>
      <c r="B9" s="4"/>
      <c r="C9" s="7"/>
      <c r="D9" s="107" t="s">
        <v>822</v>
      </c>
      <c r="E9" s="244"/>
      <c r="F9" s="7"/>
      <c r="G9" s="7"/>
      <c r="H9" s="7"/>
      <c r="I9" s="7"/>
      <c r="J9" s="7"/>
      <c r="K9" s="4"/>
    </row>
    <row r="10" spans="1:11">
      <c r="A10" s="4"/>
      <c r="B10" s="4"/>
      <c r="C10" s="7"/>
      <c r="D10" s="107" t="s">
        <v>895</v>
      </c>
      <c r="E10" s="244"/>
      <c r="F10" s="7"/>
      <c r="G10" s="7"/>
      <c r="H10" s="7"/>
      <c r="I10" s="7"/>
      <c r="J10" s="7"/>
      <c r="K10" s="4"/>
    </row>
    <row r="11" spans="1:11">
      <c r="A11" s="4"/>
      <c r="B11" s="4"/>
      <c r="C11" s="7"/>
      <c r="D11" s="107" t="s">
        <v>896</v>
      </c>
      <c r="E11" s="244"/>
      <c r="F11" s="7"/>
      <c r="G11" s="7"/>
      <c r="H11" s="7"/>
      <c r="I11" s="7"/>
      <c r="J11" s="7"/>
      <c r="K11" s="4"/>
    </row>
    <row r="12" spans="1:11">
      <c r="A12" s="4"/>
      <c r="B12" s="4"/>
      <c r="C12" s="7"/>
      <c r="D12" s="107" t="s">
        <v>477</v>
      </c>
      <c r="E12" s="244"/>
      <c r="F12" s="7"/>
      <c r="G12" s="7"/>
      <c r="H12" s="7"/>
      <c r="I12" s="7"/>
      <c r="J12" s="7"/>
      <c r="K12" s="4"/>
    </row>
    <row r="13" spans="1:11">
      <c r="A13" s="4"/>
      <c r="B13" s="4"/>
      <c r="C13" s="7"/>
      <c r="D13" s="107" t="s">
        <v>897</v>
      </c>
      <c r="E13" s="244" t="s">
        <v>317</v>
      </c>
      <c r="F13" s="7"/>
      <c r="G13" s="7"/>
      <c r="H13" s="7"/>
      <c r="I13" s="7"/>
      <c r="J13" s="7"/>
      <c r="K13" s="4"/>
    </row>
    <row r="14" spans="1:11">
      <c r="A14" s="4"/>
      <c r="B14" s="4"/>
      <c r="C14" s="7"/>
      <c r="D14" s="107" t="s">
        <v>267</v>
      </c>
      <c r="E14" s="245" t="s">
        <v>328</v>
      </c>
      <c r="F14" s="7"/>
      <c r="G14" s="7"/>
      <c r="H14" s="7"/>
      <c r="I14" s="7"/>
      <c r="J14" s="7"/>
      <c r="K14" s="4"/>
    </row>
    <row r="15" spans="1:11">
      <c r="A15" s="4"/>
      <c r="B15" s="4"/>
      <c r="C15" s="7"/>
      <c r="D15" s="107" t="s">
        <v>898</v>
      </c>
      <c r="E15" s="372" t="s">
        <v>899</v>
      </c>
      <c r="F15" s="7"/>
      <c r="G15" s="7"/>
      <c r="H15" s="7"/>
      <c r="I15" s="7"/>
      <c r="J15" s="7"/>
      <c r="K15" s="4"/>
    </row>
    <row r="16" spans="1:11">
      <c r="A16" s="4"/>
      <c r="B16" s="4"/>
      <c r="C16" s="7"/>
      <c r="D16" s="107" t="s">
        <v>900</v>
      </c>
      <c r="E16" s="246">
        <v>45020</v>
      </c>
      <c r="F16" s="7"/>
      <c r="G16" s="7"/>
      <c r="H16" s="7"/>
      <c r="I16" s="7"/>
      <c r="J16" s="7"/>
      <c r="K16" s="4"/>
    </row>
    <row r="17" spans="1:11">
      <c r="A17" s="4"/>
      <c r="B17" s="4"/>
      <c r="C17" s="7"/>
      <c r="D17" s="107" t="s">
        <v>901</v>
      </c>
      <c r="E17" s="246">
        <v>45386</v>
      </c>
      <c r="F17" s="7"/>
      <c r="G17" s="7"/>
      <c r="H17" s="7"/>
      <c r="I17" s="7"/>
      <c r="J17" s="7"/>
      <c r="K17" s="4"/>
    </row>
    <row r="18" spans="1:11">
      <c r="A18" s="4"/>
      <c r="B18" s="4"/>
      <c r="C18" s="7"/>
      <c r="D18" s="107" t="s">
        <v>902</v>
      </c>
      <c r="E18" s="247">
        <v>43160</v>
      </c>
      <c r="F18" s="7"/>
      <c r="G18" s="7"/>
      <c r="H18" s="7"/>
      <c r="I18" s="7"/>
      <c r="J18" s="7"/>
      <c r="K18" s="4"/>
    </row>
    <row r="19" spans="1:11">
      <c r="A19" s="4"/>
      <c r="B19" s="4"/>
      <c r="C19" s="7"/>
      <c r="D19" s="107" t="s">
        <v>903</v>
      </c>
      <c r="E19" s="247" t="s">
        <v>904</v>
      </c>
      <c r="F19" s="7"/>
      <c r="G19" s="7"/>
      <c r="H19" s="7"/>
      <c r="I19" s="7"/>
      <c r="J19" s="7"/>
      <c r="K19" s="4"/>
    </row>
    <row r="20" spans="1:11">
      <c r="A20" s="4"/>
      <c r="B20" s="4"/>
      <c r="C20" s="7"/>
      <c r="D20" s="107" t="s">
        <v>905</v>
      </c>
      <c r="E20" s="247" t="s">
        <v>906</v>
      </c>
      <c r="F20" s="70"/>
      <c r="G20" s="7"/>
      <c r="H20" s="7"/>
      <c r="I20" s="7"/>
      <c r="J20" s="7"/>
      <c r="K20" s="4"/>
    </row>
    <row r="21" spans="1:11">
      <c r="A21" s="4"/>
      <c r="B21" s="4"/>
      <c r="C21" s="7"/>
      <c r="D21" s="108" t="s">
        <v>907</v>
      </c>
      <c r="E21" s="248" t="s">
        <v>908</v>
      </c>
      <c r="F21" s="70"/>
      <c r="G21" s="7"/>
      <c r="H21" s="7"/>
      <c r="I21" s="7"/>
      <c r="J21" s="7"/>
      <c r="K21" s="4"/>
    </row>
    <row r="22" spans="1:11">
      <c r="A22" s="4"/>
      <c r="B22" s="4"/>
      <c r="C22" s="7"/>
      <c r="D22" s="7"/>
      <c r="E22" s="7"/>
      <c r="F22" s="7"/>
      <c r="G22" s="7"/>
      <c r="H22" s="7"/>
      <c r="I22" s="7"/>
      <c r="J22" s="7"/>
      <c r="K22" s="4"/>
    </row>
    <row r="23" spans="1:11">
      <c r="A23" s="4"/>
      <c r="B23" s="4"/>
      <c r="C23" s="4"/>
      <c r="D23" s="4"/>
      <c r="E23" s="4"/>
      <c r="F23" s="4"/>
      <c r="G23" s="4"/>
      <c r="H23" s="4"/>
      <c r="I23" s="4"/>
      <c r="J23" s="4"/>
      <c r="K23" s="4"/>
    </row>
    <row r="24" spans="1:11">
      <c r="A24" s="4"/>
      <c r="B24" s="4"/>
      <c r="C24" s="4"/>
      <c r="D24" s="4"/>
      <c r="E24" s="4"/>
      <c r="F24" s="4"/>
      <c r="G24" s="4"/>
      <c r="H24" s="4"/>
      <c r="I24" s="4"/>
      <c r="J24" s="4"/>
      <c r="K24" s="4"/>
    </row>
    <row r="25" spans="1:11">
      <c r="A25" s="4"/>
      <c r="B25" s="4"/>
      <c r="C25" s="4"/>
      <c r="D25" s="4"/>
      <c r="E25" s="4"/>
      <c r="F25" s="4"/>
      <c r="G25" s="4"/>
      <c r="H25" s="4"/>
      <c r="I25" s="4"/>
      <c r="J25" s="4"/>
      <c r="K25" s="4"/>
    </row>
    <row r="26" spans="1:11">
      <c r="A26" s="4"/>
      <c r="B26" s="4"/>
      <c r="C26" s="4"/>
      <c r="D26" s="4"/>
      <c r="E26" s="4"/>
      <c r="F26" s="4"/>
      <c r="G26" s="4"/>
      <c r="H26" s="4"/>
      <c r="I26" s="4"/>
      <c r="J26" s="4"/>
      <c r="K26" s="4"/>
    </row>
    <row r="27" spans="1:11">
      <c r="A27" s="4"/>
      <c r="B27" s="4"/>
      <c r="C27" s="4"/>
      <c r="D27" s="4"/>
      <c r="E27" s="4"/>
      <c r="F27" s="4"/>
      <c r="G27" s="4"/>
      <c r="H27" s="4"/>
      <c r="I27" s="4"/>
      <c r="J27" s="4"/>
      <c r="K27" s="4"/>
    </row>
    <row r="28" spans="1:11">
      <c r="A28" s="4"/>
      <c r="B28" s="4"/>
      <c r="C28" s="4"/>
      <c r="D28" s="4"/>
      <c r="E28" s="4"/>
      <c r="F28" s="4"/>
      <c r="G28" s="4"/>
      <c r="H28" s="4"/>
      <c r="I28" s="4"/>
      <c r="J28" s="4"/>
      <c r="K28" s="4"/>
    </row>
    <row r="29" spans="1:11">
      <c r="A29" s="4"/>
      <c r="B29" s="4"/>
      <c r="C29" s="4"/>
      <c r="D29" s="4"/>
      <c r="E29" s="4"/>
      <c r="F29" s="4"/>
      <c r="G29" s="4"/>
      <c r="H29" s="4"/>
      <c r="I29" s="4"/>
      <c r="J29" s="4"/>
      <c r="K29" s="4"/>
    </row>
    <row r="30" spans="1:11">
      <c r="A30" s="4"/>
      <c r="B30" s="4"/>
      <c r="C30" s="4"/>
      <c r="D30" s="4"/>
      <c r="E30" s="4"/>
      <c r="F30" s="4"/>
      <c r="G30" s="4"/>
      <c r="H30" s="4"/>
      <c r="I30" s="4"/>
      <c r="J30" s="4"/>
      <c r="K30" s="4"/>
    </row>
    <row r="31" spans="1:11">
      <c r="A31" s="4"/>
      <c r="B31" s="4"/>
      <c r="C31" s="4"/>
      <c r="D31" s="4"/>
      <c r="E31" s="4"/>
      <c r="F31" s="4"/>
      <c r="G31" s="4"/>
      <c r="H31" s="4"/>
      <c r="I31" s="4"/>
      <c r="J31" s="4"/>
      <c r="K31" s="4"/>
    </row>
    <row r="32" spans="1:11">
      <c r="A32" s="4"/>
      <c r="B32" s="4"/>
      <c r="C32" s="4"/>
      <c r="D32" s="4"/>
      <c r="E32" s="4"/>
      <c r="F32" s="4"/>
      <c r="G32" s="4"/>
      <c r="H32" s="4"/>
      <c r="I32" s="4"/>
      <c r="J32" s="4"/>
      <c r="K32" s="4"/>
    </row>
    <row r="33" spans="1:11">
      <c r="A33" s="4"/>
      <c r="B33" s="4"/>
      <c r="C33" s="4"/>
      <c r="D33" s="4"/>
      <c r="E33" s="4"/>
      <c r="F33" s="4"/>
      <c r="G33" s="4"/>
      <c r="H33" s="4"/>
      <c r="I33" s="4"/>
      <c r="J33" s="4"/>
      <c r="K33" s="4"/>
    </row>
    <row r="34" spans="1:11">
      <c r="A34" s="4"/>
      <c r="B34" s="4"/>
      <c r="C34" s="4"/>
      <c r="D34" s="4"/>
      <c r="E34" s="4"/>
      <c r="F34" s="4"/>
      <c r="G34" s="4"/>
      <c r="H34" s="4"/>
      <c r="I34" s="4"/>
      <c r="J34" s="4"/>
      <c r="K34" s="4"/>
    </row>
    <row r="35" spans="1:11">
      <c r="A35" s="4"/>
      <c r="B35" s="4"/>
      <c r="C35" s="4"/>
      <c r="D35" s="4"/>
      <c r="E35" s="4"/>
      <c r="F35" s="4"/>
      <c r="G35" s="4"/>
      <c r="H35" s="4"/>
      <c r="I35" s="4"/>
      <c r="J35" s="4"/>
      <c r="K35" s="4"/>
    </row>
    <row r="36" spans="1:11">
      <c r="A36" s="4"/>
      <c r="B36" s="4"/>
      <c r="C36" s="4"/>
      <c r="D36" s="4"/>
      <c r="E36" s="4"/>
      <c r="F36" s="4"/>
      <c r="G36" s="4"/>
      <c r="H36" s="4"/>
      <c r="I36" s="4"/>
      <c r="J36" s="4"/>
      <c r="K36" s="4"/>
    </row>
    <row r="37" spans="1:11">
      <c r="A37" s="4"/>
      <c r="B37" s="4"/>
      <c r="C37" s="4"/>
      <c r="D37" s="4"/>
      <c r="E37" s="4"/>
      <c r="F37" s="4"/>
      <c r="G37" s="4"/>
      <c r="H37" s="4"/>
      <c r="I37" s="4"/>
      <c r="J37" s="4"/>
      <c r="K37" s="4"/>
    </row>
    <row r="38" spans="1:11">
      <c r="A38" s="4"/>
      <c r="B38" s="4"/>
      <c r="C38" s="4"/>
      <c r="D38" s="4"/>
      <c r="E38" s="4"/>
      <c r="F38" s="4"/>
      <c r="G38" s="4"/>
      <c r="H38" s="4"/>
      <c r="I38" s="4"/>
      <c r="J38" s="4"/>
      <c r="K38" s="4"/>
    </row>
    <row r="39" spans="1:11">
      <c r="A39" s="4"/>
      <c r="B39" s="4"/>
      <c r="C39" s="4"/>
      <c r="D39" s="4"/>
      <c r="E39" s="4"/>
      <c r="F39" s="4"/>
      <c r="G39" s="4"/>
      <c r="H39" s="4"/>
      <c r="I39" s="4"/>
      <c r="J39" s="4"/>
      <c r="K39" s="4"/>
    </row>
    <row r="40" spans="1:11">
      <c r="A40" s="4"/>
      <c r="B40" s="4"/>
      <c r="C40" s="4"/>
      <c r="D40" s="4"/>
      <c r="E40" s="4"/>
      <c r="F40" s="4"/>
      <c r="G40" s="4"/>
      <c r="H40" s="4"/>
      <c r="I40" s="4"/>
      <c r="J40" s="4"/>
      <c r="K40" s="4"/>
    </row>
    <row r="41" spans="1:11" ht="14.45" customHeight="1">
      <c r="A41" s="4"/>
      <c r="B41" s="4"/>
      <c r="C41" s="4"/>
      <c r="D41" s="4"/>
      <c r="E41" s="4"/>
      <c r="F41" s="4"/>
      <c r="G41" s="4"/>
      <c r="H41" s="4"/>
      <c r="I41" s="4"/>
      <c r="J41" s="4"/>
      <c r="K41" s="4"/>
    </row>
    <row r="42" spans="1:11" ht="14.45" customHeight="1">
      <c r="A42" s="4"/>
      <c r="B42" s="4"/>
      <c r="C42" s="4"/>
      <c r="D42" s="4"/>
      <c r="E42" s="4"/>
      <c r="F42" s="4"/>
      <c r="G42" s="4"/>
      <c r="H42" s="4"/>
      <c r="I42" s="4"/>
      <c r="J42" s="4"/>
      <c r="K42" s="4"/>
    </row>
    <row r="43" spans="1:11" ht="14.45" customHeight="1">
      <c r="A43" s="4"/>
      <c r="B43" s="4"/>
      <c r="C43" s="4"/>
      <c r="D43" s="4"/>
      <c r="E43" s="4"/>
      <c r="F43" s="4"/>
      <c r="G43" s="4"/>
      <c r="H43" s="4"/>
      <c r="I43" s="4"/>
      <c r="J43" s="4"/>
      <c r="K43" s="4"/>
    </row>
    <row r="44" spans="1:11" ht="14.45" customHeight="1">
      <c r="A44" s="4"/>
      <c r="B44" s="4"/>
      <c r="C44" s="4"/>
      <c r="D44" s="4"/>
      <c r="E44" s="4"/>
      <c r="F44" s="4"/>
      <c r="G44" s="4"/>
      <c r="H44" s="4"/>
      <c r="I44" s="4"/>
      <c r="J44" s="4"/>
      <c r="K44" s="4"/>
    </row>
    <row r="45" spans="1:11" ht="14.45" customHeight="1">
      <c r="A45" s="4"/>
      <c r="B45" s="4"/>
      <c r="C45" s="4"/>
      <c r="D45" s="4"/>
      <c r="E45" s="4"/>
      <c r="F45" s="4"/>
      <c r="G45" s="4"/>
      <c r="H45" s="4"/>
      <c r="I45" s="4"/>
      <c r="J45" s="4"/>
      <c r="K45" s="4"/>
    </row>
    <row r="46" spans="1:11" ht="14.45" customHeight="1">
      <c r="A46" s="4"/>
      <c r="B46" s="4"/>
      <c r="C46" s="4"/>
      <c r="D46" s="4"/>
      <c r="E46" s="4"/>
      <c r="F46" s="4"/>
      <c r="G46" s="4"/>
      <c r="H46" s="4"/>
      <c r="I46" s="4"/>
      <c r="J46" s="4"/>
      <c r="K46" s="4"/>
    </row>
    <row r="47" spans="1:11" ht="14.45" customHeight="1">
      <c r="A47" s="4"/>
      <c r="B47" s="4"/>
      <c r="C47" s="4"/>
      <c r="D47" s="4"/>
      <c r="E47" s="4"/>
      <c r="F47" s="4"/>
      <c r="G47" s="4"/>
      <c r="H47" s="4"/>
      <c r="I47" s="4"/>
      <c r="J47" s="4"/>
      <c r="K47" s="4"/>
    </row>
    <row r="48" spans="1:11" ht="14.45" customHeight="1">
      <c r="A48" s="4"/>
      <c r="B48" s="4"/>
      <c r="C48" s="4"/>
      <c r="D48" s="4"/>
      <c r="E48" s="4"/>
      <c r="F48" s="4"/>
      <c r="G48" s="4"/>
      <c r="H48" s="4"/>
      <c r="I48" s="4"/>
      <c r="J48" s="4"/>
      <c r="K48" s="4"/>
    </row>
    <row r="49" spans="1:11" ht="14.45" customHeight="1">
      <c r="A49" s="4"/>
      <c r="B49" s="4"/>
      <c r="C49" s="4"/>
      <c r="D49" s="4"/>
      <c r="E49" s="4"/>
      <c r="F49" s="4"/>
      <c r="G49" s="4"/>
      <c r="H49" s="4"/>
      <c r="I49" s="4"/>
      <c r="J49" s="4"/>
      <c r="K49" s="4"/>
    </row>
    <row r="50" spans="1:11" ht="14.45" customHeight="1">
      <c r="A50" s="4"/>
      <c r="B50" s="4"/>
      <c r="C50" s="4"/>
      <c r="D50" s="4"/>
      <c r="E50" s="4"/>
      <c r="F50" s="4"/>
      <c r="G50" s="4"/>
      <c r="H50" s="4"/>
      <c r="I50" s="4"/>
      <c r="J50" s="4"/>
      <c r="K50" s="4"/>
    </row>
    <row r="51" spans="1:11" ht="14.45" customHeight="1">
      <c r="A51" s="4"/>
      <c r="B51" s="4"/>
      <c r="C51" s="4"/>
      <c r="D51" s="4"/>
      <c r="E51" s="4"/>
      <c r="F51" s="4"/>
      <c r="G51" s="4"/>
      <c r="H51" s="4"/>
      <c r="I51" s="4"/>
      <c r="J51" s="4"/>
      <c r="K51" s="4"/>
    </row>
    <row r="52" spans="1:11" ht="14.45" customHeight="1">
      <c r="A52" s="4"/>
      <c r="B52" s="4"/>
      <c r="C52" s="4"/>
      <c r="D52" s="4"/>
      <c r="E52" s="4"/>
      <c r="F52" s="4"/>
      <c r="G52" s="4"/>
      <c r="H52" s="4"/>
      <c r="I52" s="4"/>
      <c r="J52" s="4"/>
      <c r="K52" s="4"/>
    </row>
    <row r="53" spans="1:11" ht="14.45" customHeight="1">
      <c r="A53" s="4"/>
      <c r="B53" s="4"/>
      <c r="C53" s="4"/>
      <c r="D53" s="4"/>
      <c r="E53" s="4"/>
      <c r="F53" s="4"/>
      <c r="G53" s="4"/>
      <c r="H53" s="4"/>
      <c r="I53" s="4"/>
      <c r="J53" s="4"/>
      <c r="K53" s="4"/>
    </row>
    <row r="54" spans="1:11" ht="14.45" customHeight="1">
      <c r="A54" s="4"/>
      <c r="B54" s="4"/>
      <c r="C54" s="4"/>
      <c r="D54" s="4"/>
      <c r="E54" s="4"/>
      <c r="F54" s="4"/>
      <c r="G54" s="4"/>
      <c r="H54" s="4"/>
      <c r="I54" s="4"/>
      <c r="J54" s="4"/>
      <c r="K54" s="4"/>
    </row>
    <row r="55" spans="1:11" ht="14.45" customHeight="1">
      <c r="A55" s="4"/>
      <c r="B55" s="4"/>
      <c r="C55" s="4"/>
      <c r="D55" s="4"/>
      <c r="E55" s="4"/>
      <c r="F55" s="4"/>
      <c r="G55" s="4"/>
      <c r="H55" s="4"/>
      <c r="I55" s="4"/>
      <c r="J55" s="4"/>
      <c r="K55" s="4"/>
    </row>
    <row r="56" spans="1:11" ht="14.45" customHeight="1">
      <c r="A56" s="4"/>
      <c r="B56" s="4"/>
      <c r="C56" s="4"/>
      <c r="D56" s="4"/>
      <c r="E56" s="4"/>
      <c r="F56" s="4"/>
      <c r="G56" s="4"/>
      <c r="H56" s="4"/>
      <c r="I56" s="4"/>
      <c r="J56" s="4"/>
      <c r="K56" s="4"/>
    </row>
    <row r="57" spans="1:11" ht="14.45" customHeight="1">
      <c r="A57" s="4"/>
      <c r="B57" s="4"/>
      <c r="C57" s="4"/>
      <c r="D57" s="4"/>
      <c r="E57" s="4"/>
      <c r="F57" s="4"/>
      <c r="G57" s="4"/>
      <c r="H57" s="4"/>
      <c r="I57" s="4"/>
      <c r="J57" s="4"/>
      <c r="K57" s="4"/>
    </row>
    <row r="58" spans="1:11" ht="14.45" customHeight="1">
      <c r="A58" s="4"/>
      <c r="B58" s="4"/>
      <c r="C58" s="4"/>
      <c r="D58" s="4"/>
      <c r="E58" s="4"/>
      <c r="F58" s="4"/>
      <c r="G58" s="4"/>
      <c r="H58" s="4"/>
      <c r="I58" s="4"/>
      <c r="J58" s="4"/>
      <c r="K58" s="4"/>
    </row>
    <row r="59" spans="1:11" ht="14.45" customHeight="1">
      <c r="A59" s="4"/>
      <c r="B59" s="4"/>
      <c r="C59" s="4"/>
      <c r="D59" s="4"/>
      <c r="E59" s="4"/>
      <c r="F59" s="4"/>
      <c r="G59" s="4"/>
      <c r="H59" s="4"/>
      <c r="I59" s="4"/>
      <c r="J59" s="4"/>
      <c r="K59" s="4"/>
    </row>
    <row r="60" spans="1:11" ht="14.45" customHeight="1">
      <c r="A60" s="4"/>
      <c r="B60" s="4"/>
      <c r="C60" s="4"/>
      <c r="D60" s="4"/>
      <c r="E60" s="4"/>
      <c r="F60" s="4"/>
      <c r="G60" s="4"/>
      <c r="H60" s="4"/>
      <c r="I60" s="4"/>
      <c r="J60" s="4"/>
      <c r="K60" s="4"/>
    </row>
    <row r="61" spans="1:11" ht="14.45" customHeight="1">
      <c r="A61" s="4"/>
      <c r="B61" s="4"/>
      <c r="C61" s="4"/>
      <c r="D61" s="4"/>
      <c r="E61" s="4"/>
      <c r="F61" s="4"/>
      <c r="G61" s="4"/>
      <c r="H61" s="4"/>
      <c r="I61" s="4"/>
      <c r="J61" s="4"/>
      <c r="K61" s="4"/>
    </row>
    <row r="62" spans="1:11" ht="14.45" customHeight="1">
      <c r="A62" s="4"/>
      <c r="B62" s="4"/>
      <c r="C62" s="4"/>
      <c r="D62" s="4"/>
      <c r="E62" s="4"/>
      <c r="F62" s="4"/>
      <c r="G62" s="4"/>
      <c r="H62" s="4"/>
      <c r="I62" s="4"/>
      <c r="J62" s="4"/>
      <c r="K62" s="4"/>
    </row>
    <row r="63" spans="1:11" ht="14.45" customHeight="1">
      <c r="A63" s="4"/>
      <c r="B63" s="4"/>
      <c r="C63" s="4"/>
      <c r="D63" s="4"/>
      <c r="E63" s="4"/>
      <c r="F63" s="4"/>
      <c r="G63" s="4"/>
      <c r="H63" s="4"/>
      <c r="I63" s="4"/>
      <c r="J63" s="4"/>
      <c r="K63" s="4"/>
    </row>
    <row r="64" spans="1:11" ht="14.45" customHeight="1">
      <c r="A64" s="4"/>
      <c r="B64" s="4"/>
      <c r="C64" s="4"/>
      <c r="D64" s="4"/>
      <c r="E64" s="4"/>
      <c r="F64" s="4"/>
      <c r="G64" s="4"/>
      <c r="H64" s="4"/>
      <c r="I64" s="4"/>
      <c r="J64" s="4"/>
      <c r="K64" s="4"/>
    </row>
    <row r="65" spans="1:11" ht="14.45" customHeight="1">
      <c r="A65" s="4"/>
      <c r="B65" s="4"/>
      <c r="C65" s="4"/>
      <c r="D65" s="4"/>
      <c r="E65" s="4"/>
      <c r="F65" s="4"/>
      <c r="G65" s="4"/>
      <c r="H65" s="4"/>
      <c r="I65" s="4"/>
      <c r="J65" s="4"/>
      <c r="K65" s="4"/>
    </row>
    <row r="66" spans="1:11" ht="14.45" customHeight="1">
      <c r="A66" s="4"/>
      <c r="B66" s="4"/>
      <c r="C66" s="4"/>
      <c r="D66" s="4"/>
      <c r="E66" s="4"/>
      <c r="F66" s="4"/>
      <c r="G66" s="4"/>
      <c r="H66" s="4"/>
      <c r="I66" s="4"/>
      <c r="J66" s="4"/>
      <c r="K66" s="4"/>
    </row>
    <row r="67" spans="1:11" ht="14.45" customHeight="1">
      <c r="A67" s="4"/>
      <c r="B67" s="4"/>
      <c r="C67" s="4"/>
      <c r="D67" s="4"/>
      <c r="E67" s="4"/>
      <c r="F67" s="4"/>
      <c r="G67" s="4"/>
      <c r="H67" s="4"/>
      <c r="I67" s="4"/>
      <c r="J67" s="4"/>
      <c r="K67" s="4"/>
    </row>
    <row r="68" spans="1:11" ht="14.45" customHeight="1">
      <c r="A68" s="4"/>
      <c r="B68" s="4"/>
      <c r="C68" s="4"/>
      <c r="D68" s="4"/>
      <c r="E68" s="4"/>
      <c r="F68" s="4"/>
      <c r="G68" s="4"/>
      <c r="H68" s="4"/>
      <c r="I68" s="4"/>
      <c r="J68" s="4"/>
      <c r="K68" s="4"/>
    </row>
    <row r="69" spans="1:11" ht="14.45" customHeight="1">
      <c r="A69" s="4"/>
      <c r="B69" s="4"/>
      <c r="C69" s="4"/>
      <c r="D69" s="4"/>
      <c r="E69" s="4"/>
      <c r="F69" s="4"/>
      <c r="G69" s="4"/>
      <c r="H69" s="4"/>
      <c r="I69" s="4"/>
      <c r="J69" s="4"/>
      <c r="K69" s="4"/>
    </row>
    <row r="70" spans="1:11" ht="14.45" customHeight="1">
      <c r="A70" s="4"/>
      <c r="B70" s="4"/>
      <c r="C70" s="4"/>
      <c r="D70" s="4"/>
      <c r="E70" s="4"/>
      <c r="F70" s="4"/>
      <c r="G70" s="4"/>
      <c r="H70" s="4"/>
      <c r="I70" s="4"/>
      <c r="J70" s="4"/>
      <c r="K70" s="4"/>
    </row>
    <row r="71" spans="1:11" ht="14.45" customHeight="1">
      <c r="A71" s="4"/>
      <c r="B71" s="4"/>
      <c r="C71" s="4"/>
      <c r="D71" s="4"/>
      <c r="E71" s="4"/>
      <c r="F71" s="4"/>
      <c r="G71" s="4"/>
      <c r="H71" s="4"/>
      <c r="I71" s="4"/>
      <c r="J71" s="4"/>
      <c r="K71" s="4"/>
    </row>
    <row r="72" spans="1:11" ht="14.45" customHeight="1">
      <c r="A72" s="4"/>
      <c r="B72" s="4"/>
      <c r="C72" s="4"/>
      <c r="D72" s="4"/>
      <c r="E72" s="4"/>
      <c r="F72" s="4"/>
      <c r="G72" s="4"/>
      <c r="H72" s="4"/>
      <c r="I72" s="4"/>
      <c r="J72" s="4"/>
      <c r="K72" s="4"/>
    </row>
    <row r="73" spans="1:11" ht="14.45" customHeight="1">
      <c r="A73" s="4"/>
      <c r="B73" s="4"/>
      <c r="C73" s="4"/>
      <c r="D73" s="4"/>
      <c r="E73" s="4"/>
      <c r="F73" s="4"/>
      <c r="G73" s="4"/>
      <c r="H73" s="4"/>
      <c r="I73" s="4"/>
      <c r="J73" s="4"/>
      <c r="K73" s="4"/>
    </row>
    <row r="74" spans="1:11" ht="14.45" customHeight="1">
      <c r="A74" s="4"/>
      <c r="B74" s="4"/>
      <c r="C74" s="4"/>
      <c r="D74" s="4"/>
      <c r="E74" s="4"/>
      <c r="F74" s="4"/>
      <c r="G74" s="4"/>
      <c r="H74" s="4"/>
      <c r="I74" s="4"/>
      <c r="J74" s="4"/>
      <c r="K74" s="4"/>
    </row>
    <row r="75" spans="1:11" ht="14.45" customHeight="1">
      <c r="A75" s="4"/>
      <c r="B75" s="4"/>
      <c r="C75" s="4"/>
      <c r="D75" s="4"/>
      <c r="E75" s="4"/>
      <c r="F75" s="4"/>
      <c r="G75" s="4"/>
      <c r="H75" s="4"/>
      <c r="I75" s="4"/>
      <c r="J75" s="4"/>
      <c r="K75" s="4"/>
    </row>
    <row r="76" spans="1:11" ht="14.45" customHeight="1">
      <c r="A76" s="4"/>
      <c r="B76" s="4"/>
      <c r="C76" s="4"/>
      <c r="D76" s="4"/>
      <c r="E76" s="4"/>
      <c r="F76" s="4"/>
      <c r="G76" s="4"/>
      <c r="H76" s="4"/>
      <c r="I76" s="4"/>
      <c r="J76" s="4"/>
      <c r="K76" s="4"/>
    </row>
    <row r="77" spans="1:11" ht="14.45" customHeight="1">
      <c r="A77" s="4"/>
      <c r="B77" s="4"/>
      <c r="C77" s="4"/>
      <c r="D77" s="4"/>
      <c r="E77" s="4"/>
      <c r="F77" s="4"/>
      <c r="G77" s="4"/>
      <c r="H77" s="4"/>
      <c r="I77" s="4"/>
      <c r="J77" s="4"/>
      <c r="K77" s="4"/>
    </row>
    <row r="78" spans="1:11" ht="14.45" customHeight="1">
      <c r="A78" s="4"/>
      <c r="B78" s="4"/>
      <c r="C78" s="4"/>
      <c r="D78" s="4"/>
      <c r="E78" s="4"/>
      <c r="F78" s="4"/>
      <c r="G78" s="4"/>
      <c r="H78" s="4"/>
      <c r="I78" s="4"/>
      <c r="J78" s="4"/>
      <c r="K78" s="4"/>
    </row>
    <row r="79" spans="1:11" ht="14.45" customHeight="1">
      <c r="A79" s="4"/>
      <c r="B79" s="4"/>
      <c r="C79" s="4"/>
      <c r="D79" s="4"/>
      <c r="E79" s="4"/>
      <c r="F79" s="4"/>
      <c r="G79" s="4"/>
      <c r="H79" s="4"/>
      <c r="I79" s="4"/>
      <c r="J79" s="4"/>
      <c r="K79" s="4"/>
    </row>
    <row r="80" spans="1:11" ht="14.45" customHeight="1">
      <c r="A80" s="4"/>
      <c r="B80" s="4"/>
      <c r="C80" s="4"/>
      <c r="D80" s="4"/>
      <c r="E80" s="4"/>
      <c r="F80" s="4"/>
      <c r="G80" s="4"/>
      <c r="H80" s="4"/>
      <c r="I80" s="4"/>
      <c r="J80" s="4"/>
      <c r="K80" s="4"/>
    </row>
    <row r="81" spans="1:11" ht="14.45" customHeight="1">
      <c r="A81" s="4"/>
      <c r="B81" s="4"/>
      <c r="C81" s="4"/>
      <c r="D81" s="4"/>
      <c r="E81" s="4"/>
      <c r="F81" s="4"/>
      <c r="G81" s="4"/>
      <c r="H81" s="4"/>
      <c r="I81" s="4"/>
      <c r="J81" s="4"/>
      <c r="K81" s="4"/>
    </row>
    <row r="82" spans="1:11" ht="14.45" customHeight="1">
      <c r="A82" s="4"/>
      <c r="B82" s="4"/>
      <c r="C82" s="4"/>
      <c r="D82" s="4"/>
      <c r="E82" s="4"/>
      <c r="F82" s="4"/>
      <c r="G82" s="4"/>
      <c r="H82" s="4"/>
      <c r="I82" s="4"/>
      <c r="J82" s="4"/>
      <c r="K82" s="4"/>
    </row>
    <row r="83" spans="1:11" ht="14.45" customHeight="1">
      <c r="A83" s="4"/>
      <c r="B83" s="4"/>
      <c r="C83" s="4"/>
      <c r="D83" s="4"/>
      <c r="E83" s="4"/>
      <c r="F83" s="4"/>
      <c r="G83" s="4"/>
      <c r="H83" s="4"/>
      <c r="I83" s="4"/>
      <c r="J83" s="4"/>
      <c r="K83" s="4"/>
    </row>
    <row r="84" spans="1:11" ht="14.45" customHeight="1">
      <c r="A84" s="4"/>
      <c r="B84" s="4"/>
      <c r="C84" s="4"/>
      <c r="D84" s="4"/>
      <c r="E84" s="4"/>
      <c r="F84" s="4"/>
      <c r="G84" s="4"/>
      <c r="H84" s="4"/>
      <c r="I84" s="4"/>
      <c r="J84" s="4"/>
      <c r="K84" s="4"/>
    </row>
    <row r="85" spans="1:11" ht="14.45" customHeight="1">
      <c r="A85" s="4"/>
      <c r="B85" s="4"/>
      <c r="C85" s="4"/>
      <c r="D85" s="4"/>
      <c r="E85" s="4"/>
      <c r="F85" s="4"/>
      <c r="G85" s="4"/>
      <c r="H85" s="4"/>
      <c r="I85" s="4"/>
      <c r="J85" s="4"/>
      <c r="K85" s="4"/>
    </row>
    <row r="86" spans="1:11" ht="14.45" customHeight="1">
      <c r="A86" s="4"/>
      <c r="B86" s="4"/>
      <c r="C86" s="4"/>
      <c r="D86" s="4"/>
      <c r="E86" s="4"/>
      <c r="F86" s="4"/>
      <c r="G86" s="4"/>
      <c r="H86" s="4"/>
      <c r="I86" s="4"/>
      <c r="J86" s="4"/>
      <c r="K86" s="4"/>
    </row>
    <row r="87" spans="1:11" ht="14.45" customHeight="1">
      <c r="A87" s="4"/>
      <c r="B87" s="4"/>
      <c r="C87" s="4"/>
      <c r="D87" s="4"/>
      <c r="E87" s="4"/>
      <c r="F87" s="4"/>
      <c r="G87" s="4"/>
      <c r="H87" s="4"/>
      <c r="I87" s="4"/>
      <c r="J87" s="4"/>
      <c r="K87" s="4"/>
    </row>
    <row r="88" spans="1:11" ht="14.45" customHeight="1">
      <c r="A88" s="4"/>
      <c r="B88" s="4"/>
      <c r="C88" s="4"/>
      <c r="D88" s="4"/>
      <c r="E88" s="4"/>
      <c r="F88" s="4"/>
      <c r="G88" s="4"/>
      <c r="H88" s="4"/>
      <c r="I88" s="4"/>
      <c r="J88" s="4"/>
      <c r="K88" s="4"/>
    </row>
    <row r="89" spans="1:11" ht="14.45" customHeight="1">
      <c r="A89" s="4"/>
      <c r="B89" s="4"/>
      <c r="C89" s="4"/>
      <c r="D89" s="4"/>
      <c r="E89" s="4"/>
      <c r="F89" s="4"/>
      <c r="G89" s="4"/>
      <c r="H89" s="4"/>
      <c r="I89" s="4"/>
      <c r="J89" s="4"/>
      <c r="K89" s="4"/>
    </row>
    <row r="90" spans="1:11" ht="14.45" customHeight="1">
      <c r="A90" s="4"/>
      <c r="B90" s="4"/>
      <c r="C90" s="4"/>
      <c r="D90" s="4"/>
      <c r="E90" s="4"/>
      <c r="F90" s="4"/>
      <c r="G90" s="4"/>
      <c r="H90" s="4"/>
      <c r="I90" s="4"/>
      <c r="J90" s="4"/>
      <c r="K90" s="4"/>
    </row>
    <row r="91" spans="1:11" ht="14.45" customHeight="1">
      <c r="A91" s="4"/>
      <c r="B91" s="4"/>
      <c r="C91" s="4"/>
      <c r="D91" s="4"/>
      <c r="E91" s="4"/>
      <c r="F91" s="4"/>
      <c r="G91" s="4"/>
      <c r="H91" s="4"/>
      <c r="I91" s="4"/>
      <c r="J91" s="4"/>
      <c r="K91" s="4"/>
    </row>
    <row r="92" spans="1:11" ht="14.45" customHeight="1">
      <c r="A92" s="4"/>
      <c r="B92" s="4"/>
      <c r="C92" s="4"/>
      <c r="D92" s="4"/>
      <c r="E92" s="4"/>
      <c r="F92" s="4"/>
      <c r="G92" s="4"/>
      <c r="H92" s="4"/>
      <c r="I92" s="4"/>
      <c r="J92" s="4"/>
      <c r="K92" s="4"/>
    </row>
    <row r="93" spans="1:11" ht="14.45" customHeight="1">
      <c r="A93" s="4"/>
      <c r="B93" s="4"/>
      <c r="C93" s="4"/>
      <c r="D93" s="4"/>
      <c r="E93" s="4"/>
      <c r="F93" s="4"/>
      <c r="G93" s="4"/>
      <c r="H93" s="4"/>
      <c r="I93" s="4"/>
      <c r="J93" s="4"/>
      <c r="K93" s="4"/>
    </row>
    <row r="94" spans="1:11" ht="14.45" customHeight="1">
      <c r="A94" s="4"/>
      <c r="B94" s="4"/>
      <c r="C94" s="4"/>
      <c r="D94" s="4"/>
      <c r="E94" s="4"/>
      <c r="F94" s="4"/>
      <c r="G94" s="4"/>
      <c r="H94" s="4"/>
      <c r="I94" s="4"/>
      <c r="J94" s="4"/>
      <c r="K94" s="4"/>
    </row>
    <row r="95" spans="1:11" ht="14.45" customHeight="1">
      <c r="A95" s="4"/>
      <c r="B95" s="4"/>
      <c r="C95" s="4"/>
      <c r="D95" s="4"/>
      <c r="E95" s="4"/>
      <c r="F95" s="4"/>
      <c r="G95" s="4"/>
      <c r="H95" s="4"/>
      <c r="I95" s="4"/>
      <c r="J95" s="4"/>
      <c r="K95" s="4"/>
    </row>
    <row r="96" spans="1:11" ht="14.45" customHeight="1">
      <c r="A96" s="4"/>
      <c r="B96" s="4"/>
      <c r="C96" s="4"/>
      <c r="D96" s="4"/>
      <c r="E96" s="4"/>
      <c r="F96" s="4"/>
      <c r="G96" s="4"/>
      <c r="H96" s="4"/>
      <c r="I96" s="4"/>
      <c r="J96" s="4"/>
      <c r="K96" s="4"/>
    </row>
    <row r="97" spans="1:11" ht="14.45" customHeight="1">
      <c r="A97" s="4"/>
      <c r="B97" s="4"/>
      <c r="C97" s="4"/>
      <c r="D97" s="4"/>
      <c r="E97" s="4"/>
      <c r="F97" s="4"/>
      <c r="G97" s="4"/>
      <c r="H97" s="4"/>
      <c r="I97" s="4"/>
      <c r="J97" s="4"/>
      <c r="K97" s="4"/>
    </row>
    <row r="98" spans="1:11" ht="14.45" customHeight="1">
      <c r="A98" s="4"/>
      <c r="B98" s="4"/>
      <c r="C98" s="4"/>
      <c r="D98" s="4"/>
      <c r="E98" s="4"/>
      <c r="F98" s="4"/>
      <c r="G98" s="4"/>
      <c r="H98" s="4"/>
      <c r="I98" s="4"/>
      <c r="J98" s="4"/>
      <c r="K98" s="4"/>
    </row>
    <row r="99" spans="1:11" ht="14.45" customHeight="1">
      <c r="A99" s="4"/>
      <c r="B99" s="4"/>
      <c r="C99" s="4"/>
      <c r="D99" s="4"/>
      <c r="E99" s="4"/>
      <c r="F99" s="4"/>
      <c r="G99" s="4"/>
      <c r="H99" s="4"/>
      <c r="I99" s="4"/>
      <c r="J99" s="4"/>
      <c r="K99" s="4"/>
    </row>
    <row r="100" spans="1:11" ht="14.45" customHeight="1">
      <c r="A100" s="4"/>
      <c r="B100" s="4"/>
      <c r="C100" s="4"/>
      <c r="D100" s="4"/>
      <c r="E100" s="4"/>
      <c r="F100" s="4"/>
      <c r="G100" s="4"/>
      <c r="H100" s="4"/>
      <c r="I100" s="4"/>
      <c r="J100" s="4"/>
      <c r="K100" s="4"/>
    </row>
    <row r="101" spans="1:11" ht="14.45" customHeight="1">
      <c r="A101" s="4"/>
      <c r="B101" s="4"/>
      <c r="C101" s="4"/>
      <c r="D101" s="4"/>
      <c r="E101" s="4"/>
      <c r="F101" s="4"/>
      <c r="G101" s="4"/>
      <c r="H101" s="4"/>
      <c r="I101" s="4"/>
      <c r="J101" s="4"/>
      <c r="K101" s="4"/>
    </row>
    <row r="102" spans="1:11" ht="14.45" customHeight="1">
      <c r="A102" s="4"/>
      <c r="B102" s="4"/>
      <c r="C102" s="4"/>
      <c r="D102" s="4"/>
      <c r="E102" s="4"/>
      <c r="F102" s="4"/>
      <c r="G102" s="4"/>
      <c r="H102" s="4"/>
      <c r="I102" s="4"/>
      <c r="J102" s="4"/>
      <c r="K102" s="4"/>
    </row>
    <row r="103" spans="1:11" ht="14.45" customHeight="1">
      <c r="A103" s="102"/>
      <c r="B103" s="102"/>
      <c r="C103" s="102" t="s">
        <v>78</v>
      </c>
      <c r="D103" s="102"/>
      <c r="E103" s="102"/>
      <c r="F103" s="102"/>
      <c r="G103" s="102"/>
      <c r="H103" s="102"/>
      <c r="I103" s="102"/>
      <c r="J103" s="102"/>
      <c r="K103" s="102"/>
    </row>
    <row r="104" spans="1:11" ht="14.45" customHeight="1" outlineLevel="1">
      <c r="A104" s="4"/>
      <c r="B104" s="4"/>
      <c r="C104" s="4"/>
      <c r="D104" s="4"/>
      <c r="E104" s="4"/>
      <c r="F104" s="4"/>
      <c r="G104" s="4"/>
      <c r="H104" s="4"/>
      <c r="I104" s="4"/>
      <c r="J104" s="4"/>
      <c r="K104" s="4"/>
    </row>
    <row r="105" spans="1:11" ht="14.45" customHeight="1" outlineLevel="1">
      <c r="A105" s="4"/>
      <c r="B105" s="4"/>
      <c r="C105" s="70" t="s">
        <v>1134</v>
      </c>
      <c r="D105" s="70"/>
      <c r="E105" s="7"/>
      <c r="F105" s="7"/>
      <c r="G105" s="7"/>
      <c r="H105" s="7"/>
      <c r="I105" s="7"/>
      <c r="J105" s="7"/>
      <c r="K105" s="4"/>
    </row>
    <row r="106" spans="1:11" ht="14.45" customHeight="1" outlineLevel="1">
      <c r="A106" s="4"/>
      <c r="B106" s="4"/>
      <c r="C106" s="70" t="s">
        <v>1135</v>
      </c>
      <c r="D106" s="70"/>
      <c r="E106" s="7"/>
      <c r="F106" s="7"/>
      <c r="G106" s="7"/>
      <c r="H106" s="7"/>
      <c r="I106" s="7"/>
      <c r="J106" s="7"/>
      <c r="K106" s="4"/>
    </row>
    <row r="107" spans="1:11" ht="14.45" customHeight="1">
      <c r="A107" s="4"/>
      <c r="B107" s="4"/>
      <c r="C107" s="4"/>
      <c r="D107" s="4"/>
      <c r="E107" s="4"/>
      <c r="F107" s="4"/>
      <c r="G107" s="4"/>
      <c r="H107" s="4"/>
      <c r="I107" s="4"/>
      <c r="J107" s="4"/>
      <c r="K107" s="4"/>
    </row>
  </sheetData>
  <mergeCells count="2">
    <mergeCell ref="C2:J2"/>
    <mergeCell ref="C3:J3"/>
  </mergeCells>
  <phoneticPr fontId="65"/>
  <hyperlinks>
    <hyperlink ref="C105" r:id="rId1" display="https://support.microsoft.com/en-us/office/create-a-fault-tree-analysis-diagram-11d9daff-46ea-47f8-82de-e0b5e37ade20" xr:uid="{7D234F2A-C633-48AD-8190-72EB42DAFA24}"/>
    <hyperlink ref="C106" r:id="rId2" xr:uid="{DE9EDA9A-DD9B-49B0-8491-AD050DAFE258}"/>
    <hyperlink ref="E21" r:id="rId3" display="https://learn.microsoft.com/en-us/azure/architecture/web-apps/app-service/architectures/multi-region" xr:uid="{7DD298FB-4282-4F74-8BF1-B7DF7EE98626}"/>
  </hyperlinks>
  <pageMargins left="0.7" right="0.7" top="0.75" bottom="0.75" header="0.3" footer="0.3"/>
  <pageSetup orientation="portrait" r:id="rId4"/>
  <drawing r:id="rId5"/>
  <extLst>
    <ext xmlns:x14="http://schemas.microsoft.com/office/spreadsheetml/2009/9/main" uri="{78C0D931-6437-407d-A8EE-F0AAD7539E65}">
      <x14:conditionalFormattings>
        <x14:conditionalFormatting xmlns:xm="http://schemas.microsoft.com/office/excel/2006/main">
          <x14:cfRule type="cellIs" priority="1" operator="equal" id="{0A61F109-1304-4B76-8BF8-F94A6FAB154A}">
            <xm:f>Data!$L$13</xm:f>
            <x14:dxf>
              <font>
                <color theme="0"/>
              </font>
              <fill>
                <patternFill>
                  <bgColor rgb="FFF25022"/>
                </patternFill>
              </fill>
            </x14:dxf>
          </x14:cfRule>
          <x14:cfRule type="cellIs" priority="2" operator="equal" id="{B5F8CBB2-710D-483C-82F6-ECC4C6F1A693}">
            <xm:f>Data!$L$12</xm:f>
            <x14:dxf>
              <font>
                <color theme="0"/>
              </font>
              <fill>
                <patternFill>
                  <bgColor rgb="FFF25022"/>
                </patternFill>
              </fill>
            </x14:dxf>
          </x14:cfRule>
          <x14:cfRule type="cellIs" priority="3" operator="equal" id="{EC736C84-C796-4526-85C1-55813D132E61}">
            <xm:f>Data!$L$11</xm:f>
            <x14:dxf>
              <font>
                <color theme="0"/>
              </font>
              <fill>
                <patternFill>
                  <bgColor rgb="FFF25022"/>
                </patternFill>
              </fill>
            </x14:dxf>
          </x14:cfRule>
          <x14:cfRule type="cellIs" priority="4" operator="equal" id="{81CA1A0D-1165-460F-97CD-BAC116956743}">
            <xm:f>Data!$L$10</xm:f>
            <x14:dxf>
              <font>
                <color theme="0"/>
              </font>
              <fill>
                <patternFill>
                  <bgColor rgb="FFF25022"/>
                </patternFill>
              </fill>
            </x14:dxf>
          </x14:cfRule>
          <x14:cfRule type="cellIs" priority="5" operator="equal" id="{32113474-8C67-40B5-BAA7-801895DE26D4}">
            <xm:f>Data!$L$6</xm:f>
            <x14:dxf>
              <font>
                <color theme="0"/>
              </font>
              <fill>
                <patternFill>
                  <bgColor rgb="FFF25022"/>
                </patternFill>
              </fill>
            </x14:dxf>
          </x14:cfRule>
          <x14:cfRule type="cellIs" priority="6" operator="equal" id="{A39BE76E-74C7-4F37-8BDB-EE1C9E85692D}">
            <xm:f>Data!$L$9</xm:f>
            <x14:dxf>
              <font>
                <color theme="1"/>
              </font>
              <fill>
                <patternFill>
                  <bgColor rgb="FF7FBA00"/>
                </patternFill>
              </fill>
            </x14:dxf>
          </x14:cfRule>
          <x14:cfRule type="cellIs" priority="7" operator="equal" id="{5063E13F-9029-4EC6-A11A-FD80C828AE45}">
            <xm:f>Data!$L$8</xm:f>
            <x14:dxf>
              <font>
                <color theme="1"/>
              </font>
              <fill>
                <patternFill>
                  <bgColor rgb="FF00A4EF"/>
                </patternFill>
              </fill>
            </x14:dxf>
          </x14:cfRule>
          <x14:cfRule type="cellIs" priority="8" operator="equal" id="{43882A2C-8874-4716-BD43-F74537C2B87C}">
            <xm:f>Data!$L$7</xm:f>
            <x14:dxf>
              <font>
                <color theme="1"/>
              </font>
              <fill>
                <patternFill>
                  <bgColor rgb="FFFFB900"/>
                </patternFill>
              </fill>
            </x14:dxf>
          </x14:cfRule>
          <x14:cfRule type="cellIs" priority="9" operator="equal" id="{D147A896-8341-48A2-88D7-3282EDC32522}">
            <xm:f>Data!$L$5</xm:f>
            <x14:dxf>
              <font>
                <color theme="0"/>
              </font>
              <fill>
                <patternFill>
                  <bgColor rgb="FFF25022"/>
                </patternFill>
              </fill>
            </x14:dxf>
          </x14:cfRule>
          <x14:cfRule type="cellIs" priority="10" operator="equal" id="{EF56313F-3BD4-4E99-A4A1-3AE1D6D97B45}">
            <xm:f>Data!$L$6+Data!$L$14</xm:f>
            <x14:dxf>
              <font>
                <color theme="0"/>
              </font>
              <fill>
                <patternFill>
                  <bgColor rgb="FF747474"/>
                </patternFill>
              </fill>
            </x14:dxf>
          </x14:cfRule>
          <xm:sqref>E14:E15</xm:sqref>
        </x14:conditionalFormatting>
      </x14:conditionalFormatting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019E3A-6B3C-4636-8656-216797A927DD}">
  <sheetPr>
    <tabColor rgb="FFFFB900"/>
  </sheetPr>
  <dimension ref="A1:T45"/>
  <sheetViews>
    <sheetView showGridLines="0" showRowColHeaders="0" zoomScaleNormal="100" workbookViewId="0">
      <selection activeCell="A6" sqref="A6"/>
    </sheetView>
  </sheetViews>
  <sheetFormatPr defaultColWidth="0" defaultRowHeight="14.45" customHeight="1" zeroHeight="1" outlineLevelRow="1"/>
  <cols>
    <col min="1" max="2" width="5.85546875" customWidth="1"/>
    <col min="3" max="3" width="3.85546875" customWidth="1"/>
    <col min="4" max="4" width="32.85546875" bestFit="1" customWidth="1"/>
    <col min="5" max="5" width="63.140625" bestFit="1" customWidth="1"/>
    <col min="6" max="6" width="16.85546875" bestFit="1" customWidth="1"/>
    <col min="7" max="7" width="14.140625" bestFit="1" customWidth="1"/>
    <col min="8" max="8" width="12.140625" bestFit="1" customWidth="1"/>
    <col min="9" max="9" width="10.42578125" bestFit="1" customWidth="1"/>
    <col min="10" max="10" width="17.5703125" customWidth="1"/>
    <col min="11" max="11" width="10.5703125" bestFit="1" customWidth="1"/>
    <col min="12" max="12" width="12.85546875" bestFit="1" customWidth="1"/>
    <col min="13" max="13" width="9.5703125" bestFit="1" customWidth="1"/>
    <col min="14" max="16" width="12.42578125" bestFit="1" customWidth="1"/>
    <col min="17" max="17" width="15.42578125" bestFit="1" customWidth="1"/>
    <col min="18" max="18" width="9.85546875" bestFit="1" customWidth="1"/>
    <col min="19" max="19" width="10.140625" bestFit="1" customWidth="1"/>
    <col min="20" max="20" width="3.85546875" customWidth="1"/>
    <col min="21" max="16384" width="8.85546875" hidden="1"/>
  </cols>
  <sheetData>
    <row r="1" spans="1:20">
      <c r="A1" s="8"/>
      <c r="B1" s="8"/>
      <c r="C1" s="8"/>
      <c r="D1" s="8"/>
      <c r="E1" s="8"/>
      <c r="F1" s="8"/>
      <c r="G1" s="8"/>
      <c r="H1" s="8"/>
      <c r="I1" s="8"/>
      <c r="J1" s="8"/>
      <c r="K1" s="8"/>
      <c r="L1" s="8"/>
      <c r="M1" s="8"/>
      <c r="N1" s="8"/>
      <c r="O1" s="8"/>
      <c r="P1" s="8"/>
      <c r="Q1" s="8"/>
      <c r="R1" s="8"/>
      <c r="S1" s="8"/>
      <c r="T1" s="8"/>
    </row>
    <row r="2" spans="1:20" ht="21" customHeight="1">
      <c r="A2" s="8"/>
      <c r="B2" s="8"/>
      <c r="C2" s="618" t="s">
        <v>1510</v>
      </c>
      <c r="D2" s="618"/>
      <c r="E2" s="618"/>
      <c r="F2" s="618"/>
      <c r="G2" s="618"/>
      <c r="H2" s="618"/>
      <c r="I2" s="618"/>
      <c r="J2" s="618"/>
      <c r="K2" s="618"/>
      <c r="L2" s="618"/>
      <c r="M2" s="618"/>
      <c r="N2" s="618"/>
      <c r="O2" s="618"/>
      <c r="P2" s="618"/>
      <c r="Q2" s="618"/>
      <c r="R2" s="618"/>
      <c r="S2" s="618"/>
      <c r="T2" s="9"/>
    </row>
    <row r="3" spans="1:20" ht="14.45" customHeight="1">
      <c r="A3" s="8"/>
      <c r="B3" s="8"/>
      <c r="C3" s="646" t="s">
        <v>1511</v>
      </c>
      <c r="D3" s="646"/>
      <c r="E3" s="646"/>
      <c r="F3" s="646"/>
      <c r="G3" s="646"/>
      <c r="H3" s="646"/>
      <c r="I3" s="646"/>
      <c r="J3" s="646"/>
      <c r="K3" s="646"/>
      <c r="L3" s="646"/>
      <c r="M3" s="646"/>
      <c r="N3" s="646"/>
      <c r="O3" s="646"/>
      <c r="P3" s="646"/>
      <c r="Q3" s="646"/>
      <c r="R3" s="646"/>
      <c r="S3" s="646"/>
      <c r="T3" s="8"/>
    </row>
    <row r="4" spans="1:20">
      <c r="A4" s="8"/>
      <c r="B4" s="8"/>
      <c r="C4" s="8"/>
      <c r="D4" s="8"/>
      <c r="E4" s="8"/>
      <c r="F4" s="8"/>
      <c r="G4" s="8"/>
      <c r="H4" s="8"/>
      <c r="I4" s="8"/>
      <c r="J4" s="8"/>
      <c r="K4" s="8"/>
      <c r="L4" s="8"/>
      <c r="M4" s="8"/>
      <c r="N4" s="8"/>
      <c r="O4" s="8"/>
      <c r="P4" s="8"/>
      <c r="Q4" s="8"/>
      <c r="R4" s="8"/>
      <c r="S4" s="8"/>
      <c r="T4" s="8"/>
    </row>
    <row r="5" spans="1:20">
      <c r="A5" s="8"/>
      <c r="B5" s="8"/>
      <c r="C5" s="7"/>
      <c r="D5" s="7"/>
      <c r="E5" s="7"/>
      <c r="F5" s="7"/>
      <c r="G5" s="7"/>
      <c r="H5" s="7"/>
      <c r="I5" s="7"/>
      <c r="J5" s="7"/>
      <c r="K5" s="7"/>
      <c r="L5" s="7"/>
      <c r="M5" s="7"/>
      <c r="N5" s="7"/>
      <c r="O5" s="7"/>
      <c r="P5" s="7"/>
      <c r="Q5" s="7"/>
      <c r="R5" s="7"/>
      <c r="S5" s="7"/>
      <c r="T5" s="8"/>
    </row>
    <row r="6" spans="1:20">
      <c r="A6" s="8"/>
      <c r="B6" s="8"/>
      <c r="C6" s="7"/>
      <c r="D6" s="107" t="s">
        <v>890</v>
      </c>
      <c r="E6" s="244" t="s">
        <v>891</v>
      </c>
      <c r="F6" s="7"/>
      <c r="G6" s="7"/>
      <c r="H6" s="7"/>
      <c r="I6" s="7"/>
      <c r="J6" s="7"/>
      <c r="K6" s="7"/>
      <c r="L6" s="7"/>
      <c r="M6" s="7"/>
      <c r="N6" s="7"/>
      <c r="O6" s="7"/>
      <c r="P6" s="7"/>
      <c r="Q6" s="7"/>
      <c r="R6" s="7"/>
      <c r="S6" s="7"/>
      <c r="T6" s="8"/>
    </row>
    <row r="7" spans="1:20">
      <c r="A7" s="8"/>
      <c r="B7" s="8"/>
      <c r="C7" s="7"/>
      <c r="D7" s="107" t="s">
        <v>892</v>
      </c>
      <c r="E7" s="244" t="s">
        <v>893</v>
      </c>
      <c r="F7" s="7"/>
      <c r="G7" s="7"/>
      <c r="H7" s="7"/>
      <c r="I7" s="7"/>
      <c r="J7" s="7"/>
      <c r="K7" s="7"/>
      <c r="L7" s="7"/>
      <c r="M7" s="7"/>
      <c r="N7" s="7"/>
      <c r="O7" s="7"/>
      <c r="P7" s="7"/>
      <c r="Q7" s="7"/>
      <c r="R7" s="7"/>
      <c r="S7" s="7"/>
      <c r="T7" s="8"/>
    </row>
    <row r="8" spans="1:20">
      <c r="A8" s="8"/>
      <c r="B8" s="8"/>
      <c r="C8" s="7"/>
      <c r="D8" s="107" t="s">
        <v>117</v>
      </c>
      <c r="E8" s="244" t="s">
        <v>894</v>
      </c>
      <c r="F8" s="7"/>
      <c r="G8" s="7"/>
      <c r="H8" s="7"/>
      <c r="I8" s="7"/>
      <c r="J8" s="7"/>
      <c r="K8" s="7"/>
      <c r="L8" s="7"/>
      <c r="M8" s="7"/>
      <c r="N8" s="7"/>
      <c r="O8" s="7"/>
      <c r="P8" s="7"/>
      <c r="Q8" s="7"/>
      <c r="R8" s="7"/>
      <c r="S8" s="7"/>
      <c r="T8" s="8"/>
    </row>
    <row r="9" spans="1:20">
      <c r="A9" s="8"/>
      <c r="B9" s="8"/>
      <c r="C9" s="7"/>
      <c r="D9" s="107" t="s">
        <v>822</v>
      </c>
      <c r="E9" s="244"/>
      <c r="F9" s="7"/>
      <c r="G9" s="7"/>
      <c r="H9" s="7"/>
      <c r="I9" s="7"/>
      <c r="J9" s="7"/>
      <c r="K9" s="7"/>
      <c r="L9" s="7"/>
      <c r="M9" s="7"/>
      <c r="N9" s="7"/>
      <c r="O9" s="7"/>
      <c r="P9" s="7"/>
      <c r="Q9" s="7"/>
      <c r="R9" s="7"/>
      <c r="S9" s="7"/>
      <c r="T9" s="8"/>
    </row>
    <row r="10" spans="1:20">
      <c r="A10" s="8"/>
      <c r="B10" s="8"/>
      <c r="C10" s="7"/>
      <c r="D10" s="107" t="s">
        <v>895</v>
      </c>
      <c r="E10" s="244"/>
      <c r="F10" s="7"/>
      <c r="G10" s="7"/>
      <c r="H10" s="7"/>
      <c r="I10" s="7"/>
      <c r="J10" s="7"/>
      <c r="K10" s="7"/>
      <c r="L10" s="7"/>
      <c r="M10" s="7"/>
      <c r="N10" s="7"/>
      <c r="O10" s="7"/>
      <c r="P10" s="7"/>
      <c r="Q10" s="7"/>
      <c r="R10" s="7"/>
      <c r="S10" s="7"/>
      <c r="T10" s="8"/>
    </row>
    <row r="11" spans="1:20">
      <c r="A11" s="8"/>
      <c r="B11" s="8"/>
      <c r="C11" s="7"/>
      <c r="D11" s="107" t="s">
        <v>896</v>
      </c>
      <c r="E11" s="244"/>
      <c r="F11" s="7"/>
      <c r="G11" s="7"/>
      <c r="H11" s="7"/>
      <c r="I11" s="7"/>
      <c r="J11" s="7"/>
      <c r="K11" s="7"/>
      <c r="L11" s="7"/>
      <c r="M11" s="7"/>
      <c r="N11" s="7"/>
      <c r="O11" s="7"/>
      <c r="P11" s="7"/>
      <c r="Q11" s="7"/>
      <c r="R11" s="7"/>
      <c r="S11" s="7"/>
      <c r="T11" s="8"/>
    </row>
    <row r="12" spans="1:20">
      <c r="A12" s="8"/>
      <c r="B12" s="8"/>
      <c r="C12" s="7"/>
      <c r="D12" s="107" t="s">
        <v>477</v>
      </c>
      <c r="E12" s="244"/>
      <c r="F12" s="7"/>
      <c r="G12" s="7"/>
      <c r="H12" s="7"/>
      <c r="I12" s="7"/>
      <c r="J12" s="7"/>
      <c r="K12" s="7"/>
      <c r="L12" s="7"/>
      <c r="M12" s="7"/>
      <c r="N12" s="7"/>
      <c r="O12" s="7"/>
      <c r="P12" s="7"/>
      <c r="Q12" s="7"/>
      <c r="R12" s="7"/>
      <c r="S12" s="7"/>
      <c r="T12" s="8"/>
    </row>
    <row r="13" spans="1:20">
      <c r="A13" s="8"/>
      <c r="B13" s="8"/>
      <c r="C13" s="7"/>
      <c r="D13" s="107" t="s">
        <v>897</v>
      </c>
      <c r="E13" s="244" t="s">
        <v>317</v>
      </c>
      <c r="F13" s="7"/>
      <c r="G13" s="7"/>
      <c r="H13" s="7"/>
      <c r="I13" s="7"/>
      <c r="J13" s="7"/>
      <c r="K13" s="7"/>
      <c r="L13" s="7"/>
      <c r="M13" s="7"/>
      <c r="N13" s="7"/>
      <c r="O13" s="7"/>
      <c r="P13" s="7"/>
      <c r="Q13" s="7"/>
      <c r="R13" s="7"/>
      <c r="S13" s="7"/>
      <c r="T13" s="8"/>
    </row>
    <row r="14" spans="1:20">
      <c r="A14" s="8"/>
      <c r="B14" s="8"/>
      <c r="C14" s="7"/>
      <c r="D14" s="107" t="s">
        <v>267</v>
      </c>
      <c r="E14" s="245" t="s">
        <v>328</v>
      </c>
      <c r="F14" s="7"/>
      <c r="G14" s="7"/>
      <c r="H14" s="7"/>
      <c r="I14" s="7"/>
      <c r="J14" s="7"/>
      <c r="K14" s="7"/>
      <c r="L14" s="7"/>
      <c r="M14" s="7"/>
      <c r="N14" s="7"/>
      <c r="O14" s="7"/>
      <c r="P14" s="7"/>
      <c r="Q14" s="7"/>
      <c r="R14" s="7"/>
      <c r="S14" s="7"/>
      <c r="T14" s="8"/>
    </row>
    <row r="15" spans="1:20">
      <c r="A15" s="8"/>
      <c r="B15" s="8"/>
      <c r="C15" s="7"/>
      <c r="D15" s="107" t="s">
        <v>898</v>
      </c>
      <c r="E15" s="372" t="s">
        <v>899</v>
      </c>
      <c r="F15" s="7"/>
      <c r="G15" s="7"/>
      <c r="H15" s="7"/>
      <c r="I15" s="7"/>
      <c r="J15" s="7"/>
      <c r="K15" s="7"/>
      <c r="L15" s="7"/>
      <c r="M15" s="7"/>
      <c r="N15" s="7"/>
      <c r="O15" s="7"/>
      <c r="P15" s="7"/>
      <c r="Q15" s="7"/>
      <c r="R15" s="7"/>
      <c r="S15" s="7"/>
      <c r="T15" s="8"/>
    </row>
    <row r="16" spans="1:20">
      <c r="A16" s="8"/>
      <c r="B16" s="8"/>
      <c r="C16" s="7"/>
      <c r="D16" s="107" t="s">
        <v>900</v>
      </c>
      <c r="E16" s="246">
        <v>45020</v>
      </c>
      <c r="F16" s="7"/>
      <c r="G16" s="7"/>
      <c r="H16" s="7"/>
      <c r="I16" s="7"/>
      <c r="J16" s="7"/>
      <c r="K16" s="7"/>
      <c r="L16" s="7"/>
      <c r="M16" s="7"/>
      <c r="N16" s="7"/>
      <c r="O16" s="7"/>
      <c r="P16" s="7"/>
      <c r="Q16" s="7"/>
      <c r="R16" s="7"/>
      <c r="S16" s="7"/>
      <c r="T16" s="8"/>
    </row>
    <row r="17" spans="1:20">
      <c r="A17" s="8"/>
      <c r="B17" s="8"/>
      <c r="C17" s="7"/>
      <c r="D17" s="107" t="s">
        <v>901</v>
      </c>
      <c r="E17" s="246">
        <v>45386</v>
      </c>
      <c r="F17" s="7"/>
      <c r="G17" s="7"/>
      <c r="H17" s="7"/>
      <c r="I17" s="7"/>
      <c r="J17" s="7"/>
      <c r="K17" s="7"/>
      <c r="L17" s="7"/>
      <c r="M17" s="7"/>
      <c r="N17" s="7"/>
      <c r="O17" s="7"/>
      <c r="P17" s="7"/>
      <c r="Q17" s="7"/>
      <c r="R17" s="7"/>
      <c r="S17" s="7"/>
      <c r="T17" s="8"/>
    </row>
    <row r="18" spans="1:20">
      <c r="A18" s="8"/>
      <c r="B18" s="8"/>
      <c r="C18" s="7"/>
      <c r="D18" s="107" t="s">
        <v>902</v>
      </c>
      <c r="E18" s="247">
        <v>43160</v>
      </c>
      <c r="F18" s="7"/>
      <c r="G18" s="7"/>
      <c r="H18" s="7"/>
      <c r="I18" s="7"/>
      <c r="J18" s="7"/>
      <c r="K18" s="7"/>
      <c r="L18" s="7"/>
      <c r="M18" s="7"/>
      <c r="N18" s="7"/>
      <c r="O18" s="7"/>
      <c r="P18" s="7"/>
      <c r="Q18" s="7"/>
      <c r="R18" s="7"/>
      <c r="S18" s="7"/>
      <c r="T18" s="8"/>
    </row>
    <row r="19" spans="1:20">
      <c r="A19" s="8"/>
      <c r="B19" s="8"/>
      <c r="C19" s="7"/>
      <c r="D19" s="107" t="s">
        <v>903</v>
      </c>
      <c r="E19" s="247" t="s">
        <v>904</v>
      </c>
      <c r="F19" s="7"/>
      <c r="G19" s="7"/>
      <c r="H19" s="7"/>
      <c r="I19" s="7"/>
      <c r="J19" s="7"/>
      <c r="K19" s="7"/>
      <c r="L19" s="7"/>
      <c r="M19" s="7"/>
      <c r="N19" s="7"/>
      <c r="O19" s="7"/>
      <c r="P19" s="7"/>
      <c r="Q19" s="7"/>
      <c r="R19" s="7"/>
      <c r="S19" s="7"/>
      <c r="T19" s="8"/>
    </row>
    <row r="20" spans="1:20">
      <c r="A20" s="8"/>
      <c r="B20" s="8"/>
      <c r="C20" s="7"/>
      <c r="D20" s="107" t="s">
        <v>905</v>
      </c>
      <c r="E20" s="247" t="s">
        <v>906</v>
      </c>
      <c r="F20" s="7"/>
      <c r="G20" s="7"/>
      <c r="H20" s="7"/>
      <c r="I20" s="7"/>
      <c r="J20" s="7"/>
      <c r="K20" s="7"/>
      <c r="L20" s="7"/>
      <c r="M20" s="7"/>
      <c r="N20" s="7"/>
      <c r="O20" s="7"/>
      <c r="P20" s="7"/>
      <c r="Q20" s="7"/>
      <c r="R20" s="7"/>
      <c r="S20" s="7"/>
      <c r="T20" s="8"/>
    </row>
    <row r="21" spans="1:20">
      <c r="A21" s="8"/>
      <c r="B21" s="8"/>
      <c r="C21" s="7"/>
      <c r="D21" s="108" t="s">
        <v>907</v>
      </c>
      <c r="E21" s="248" t="s">
        <v>908</v>
      </c>
      <c r="F21" s="7"/>
      <c r="G21" s="7"/>
      <c r="H21" s="7"/>
      <c r="I21" s="7"/>
      <c r="J21" s="7"/>
      <c r="K21" s="7"/>
      <c r="L21" s="7"/>
      <c r="M21" s="7"/>
      <c r="N21" s="7"/>
      <c r="O21" s="7"/>
      <c r="P21" s="7"/>
      <c r="Q21" s="7"/>
      <c r="R21" s="7"/>
      <c r="S21" s="7"/>
      <c r="T21" s="8"/>
    </row>
    <row r="22" spans="1:20">
      <c r="A22" s="8"/>
      <c r="B22" s="8"/>
      <c r="C22" s="7"/>
      <c r="D22" s="355" t="s">
        <v>1512</v>
      </c>
      <c r="E22" s="247" t="s">
        <v>1513</v>
      </c>
      <c r="F22" s="7"/>
      <c r="G22" s="7"/>
      <c r="H22" s="7"/>
      <c r="I22" s="7"/>
      <c r="J22" s="7"/>
      <c r="K22" s="7"/>
      <c r="L22" s="7"/>
      <c r="M22" s="7"/>
      <c r="N22" s="7"/>
      <c r="O22" s="7"/>
      <c r="P22" s="7"/>
      <c r="Q22" s="7"/>
      <c r="R22" s="7"/>
      <c r="S22" s="7"/>
      <c r="T22" s="8"/>
    </row>
    <row r="23" spans="1:20">
      <c r="A23" s="8"/>
      <c r="B23" s="8"/>
      <c r="C23" s="7"/>
      <c r="D23" s="355" t="s">
        <v>1514</v>
      </c>
      <c r="E23" s="247" t="s">
        <v>822</v>
      </c>
      <c r="F23" s="7"/>
      <c r="G23" s="7"/>
      <c r="H23" s="7"/>
      <c r="I23" s="7"/>
      <c r="J23" s="7"/>
      <c r="K23" s="7"/>
      <c r="L23" s="7"/>
      <c r="M23" s="7"/>
      <c r="N23" s="7"/>
      <c r="O23" s="7"/>
      <c r="P23" s="7"/>
      <c r="Q23" s="7"/>
      <c r="R23" s="7"/>
      <c r="S23" s="7"/>
      <c r="T23" s="8"/>
    </row>
    <row r="24" spans="1:20">
      <c r="A24" s="8"/>
      <c r="B24" s="8"/>
      <c r="C24" s="7"/>
      <c r="D24" s="7"/>
      <c r="E24" s="7"/>
      <c r="F24" s="7"/>
      <c r="G24" s="7"/>
      <c r="H24" s="7"/>
      <c r="I24" s="7"/>
      <c r="J24" s="7"/>
      <c r="K24" s="7"/>
      <c r="L24" s="7"/>
      <c r="M24" s="7"/>
      <c r="N24" s="7"/>
      <c r="O24" s="7"/>
      <c r="P24" s="7"/>
      <c r="Q24" s="7"/>
      <c r="R24" s="7"/>
      <c r="S24" s="7"/>
      <c r="T24" s="8"/>
    </row>
    <row r="25" spans="1:20">
      <c r="A25" s="8"/>
      <c r="B25" s="8"/>
      <c r="C25" s="8"/>
      <c r="D25" s="8"/>
      <c r="E25" s="12"/>
      <c r="F25" s="12"/>
      <c r="G25" s="8"/>
      <c r="H25" s="8"/>
      <c r="I25" s="8"/>
      <c r="J25" s="8"/>
      <c r="K25" s="8"/>
      <c r="L25" s="8"/>
      <c r="M25" s="8"/>
      <c r="N25" s="8"/>
      <c r="O25" s="8"/>
      <c r="P25" s="8"/>
      <c r="Q25" s="8"/>
      <c r="R25" s="8"/>
      <c r="S25" s="8"/>
      <c r="T25" s="8"/>
    </row>
    <row r="26" spans="1:20">
      <c r="A26" s="8"/>
      <c r="B26" s="8"/>
      <c r="C26" s="54"/>
      <c r="D26" s="54"/>
      <c r="E26" s="160"/>
      <c r="F26" s="160"/>
      <c r="G26" s="54"/>
      <c r="H26" s="54"/>
      <c r="I26" s="54"/>
      <c r="J26" s="54"/>
      <c r="K26" s="54"/>
      <c r="L26" s="54"/>
      <c r="M26" s="54"/>
      <c r="N26" s="54"/>
      <c r="O26" s="54"/>
      <c r="P26" s="54"/>
      <c r="Q26" s="54"/>
      <c r="R26" s="54"/>
      <c r="S26" s="54"/>
      <c r="T26" s="8"/>
    </row>
    <row r="27" spans="1:20">
      <c r="A27" s="8"/>
      <c r="B27" s="8"/>
      <c r="C27" s="54"/>
      <c r="D27" s="57" t="s">
        <v>1515</v>
      </c>
      <c r="E27" s="57" t="s">
        <v>1516</v>
      </c>
      <c r="F27" s="57" t="s">
        <v>1367</v>
      </c>
      <c r="G27" s="8"/>
      <c r="H27" s="54"/>
      <c r="I27" s="54"/>
      <c r="J27" s="54"/>
      <c r="K27" s="54"/>
      <c r="L27" s="54"/>
      <c r="M27" s="54"/>
      <c r="N27" s="54"/>
      <c r="O27" s="54"/>
      <c r="P27" s="54"/>
      <c r="Q27" s="54"/>
      <c r="R27" s="54"/>
      <c r="S27" s="54"/>
      <c r="T27" s="8"/>
    </row>
    <row r="28" spans="1:20">
      <c r="A28" s="8"/>
      <c r="B28" s="8"/>
      <c r="C28" s="54"/>
      <c r="D28" s="57" t="s">
        <v>1517</v>
      </c>
      <c r="E28" s="58" t="s">
        <v>1518</v>
      </c>
      <c r="F28" s="58"/>
      <c r="G28" s="8"/>
      <c r="H28" s="54"/>
      <c r="I28" s="54"/>
      <c r="J28" s="54"/>
      <c r="K28" s="54"/>
      <c r="L28" s="54"/>
      <c r="M28" s="54"/>
      <c r="N28" s="54"/>
      <c r="O28" s="54"/>
      <c r="P28" s="54"/>
      <c r="Q28" s="54"/>
      <c r="R28" s="54"/>
      <c r="S28" s="54"/>
      <c r="T28" s="8"/>
    </row>
    <row r="29" spans="1:20" ht="87">
      <c r="A29" s="8"/>
      <c r="B29" s="8"/>
      <c r="C29" s="54"/>
      <c r="D29" s="57" t="s">
        <v>976</v>
      </c>
      <c r="E29" s="58" t="s">
        <v>1519</v>
      </c>
      <c r="F29" s="58" t="s">
        <v>1520</v>
      </c>
      <c r="G29" s="8"/>
      <c r="H29" s="54"/>
      <c r="I29" s="54"/>
      <c r="J29" s="54"/>
      <c r="K29" s="54"/>
      <c r="L29" s="54"/>
      <c r="M29" s="54"/>
      <c r="N29" s="54"/>
      <c r="O29" s="54"/>
      <c r="P29" s="54"/>
      <c r="Q29" s="54"/>
      <c r="R29" s="54"/>
      <c r="S29" s="54"/>
      <c r="T29" s="8"/>
    </row>
    <row r="30" spans="1:20">
      <c r="A30" s="8"/>
      <c r="B30" s="8"/>
      <c r="C30" s="54"/>
      <c r="D30" s="57" t="s">
        <v>977</v>
      </c>
      <c r="E30" s="58" t="s">
        <v>1182</v>
      </c>
      <c r="F30" s="58"/>
      <c r="G30" s="8"/>
      <c r="H30" s="54"/>
      <c r="I30" s="54"/>
      <c r="J30" s="54"/>
      <c r="K30" s="54"/>
      <c r="L30" s="54"/>
      <c r="M30" s="54"/>
      <c r="N30" s="54"/>
      <c r="O30" s="54"/>
      <c r="P30" s="54"/>
      <c r="Q30" s="54"/>
      <c r="R30" s="54"/>
      <c r="S30" s="54"/>
      <c r="T30" s="8"/>
    </row>
    <row r="31" spans="1:20">
      <c r="A31" s="8"/>
      <c r="B31" s="8"/>
      <c r="C31" s="54"/>
      <c r="D31" s="57" t="s">
        <v>978</v>
      </c>
      <c r="E31" s="58" t="s">
        <v>1182</v>
      </c>
      <c r="F31" s="58"/>
      <c r="G31" s="8"/>
      <c r="H31" s="54"/>
      <c r="I31" s="54"/>
      <c r="J31" s="54"/>
      <c r="K31" s="54"/>
      <c r="L31" s="54"/>
      <c r="M31" s="54"/>
      <c r="N31" s="54"/>
      <c r="O31" s="54"/>
      <c r="P31" s="54"/>
      <c r="Q31" s="54"/>
      <c r="R31" s="54"/>
      <c r="S31" s="54"/>
      <c r="T31" s="8"/>
    </row>
    <row r="32" spans="1:20">
      <c r="A32" s="8"/>
      <c r="B32" s="8"/>
      <c r="C32" s="54"/>
      <c r="D32" s="57" t="s">
        <v>975</v>
      </c>
      <c r="E32" s="58" t="s">
        <v>1182</v>
      </c>
      <c r="F32" s="58"/>
      <c r="G32" s="55"/>
      <c r="H32" s="99"/>
      <c r="I32" s="99"/>
      <c r="J32" s="99"/>
      <c r="K32" s="99"/>
      <c r="L32" s="99"/>
      <c r="M32" s="99"/>
      <c r="N32" s="99"/>
      <c r="O32" s="99"/>
      <c r="P32" s="99"/>
      <c r="Q32" s="99"/>
      <c r="R32" s="99"/>
      <c r="S32" s="99"/>
      <c r="T32" s="8"/>
    </row>
    <row r="33" spans="1:20">
      <c r="A33" s="8"/>
      <c r="B33" s="8"/>
      <c r="C33" s="54"/>
      <c r="D33" s="57" t="s">
        <v>981</v>
      </c>
      <c r="E33" s="58" t="s">
        <v>1182</v>
      </c>
      <c r="F33" s="58"/>
      <c r="G33" s="55"/>
      <c r="H33" s="99"/>
      <c r="I33" s="99"/>
      <c r="J33" s="99"/>
      <c r="K33" s="99"/>
      <c r="L33" s="99"/>
      <c r="M33" s="99"/>
      <c r="N33" s="99"/>
      <c r="O33" s="99"/>
      <c r="P33" s="99"/>
      <c r="Q33" s="99"/>
      <c r="R33" s="99"/>
      <c r="S33" s="99"/>
      <c r="T33" s="8"/>
    </row>
    <row r="34" spans="1:20" ht="29.1">
      <c r="A34" s="8"/>
      <c r="B34" s="8"/>
      <c r="C34" s="54"/>
      <c r="D34" s="57" t="s">
        <v>979</v>
      </c>
      <c r="E34" s="58" t="s">
        <v>1521</v>
      </c>
      <c r="F34" s="58"/>
      <c r="G34" s="55"/>
      <c r="H34" s="99"/>
      <c r="I34" s="99"/>
      <c r="J34" s="99"/>
      <c r="K34" s="99"/>
      <c r="L34" s="99"/>
      <c r="M34" s="99"/>
      <c r="N34" s="99"/>
      <c r="O34" s="99"/>
      <c r="P34" s="99"/>
      <c r="Q34" s="99"/>
      <c r="R34" s="99"/>
      <c r="S34" s="99"/>
      <c r="T34" s="8"/>
    </row>
    <row r="35" spans="1:20">
      <c r="A35" s="8"/>
      <c r="B35" s="8"/>
      <c r="C35" s="54"/>
      <c r="D35" s="57" t="s">
        <v>980</v>
      </c>
      <c r="E35" s="58" t="s">
        <v>1182</v>
      </c>
      <c r="F35" s="58"/>
      <c r="G35" s="55"/>
      <c r="H35" s="99"/>
      <c r="I35" s="99"/>
      <c r="J35" s="99"/>
      <c r="K35" s="99"/>
      <c r="L35" s="99"/>
      <c r="M35" s="99"/>
      <c r="N35" s="99"/>
      <c r="O35" s="99"/>
      <c r="P35" s="99"/>
      <c r="Q35" s="99"/>
      <c r="R35" s="99"/>
      <c r="S35" s="99"/>
      <c r="T35" s="8"/>
    </row>
    <row r="36" spans="1:20" ht="130.5">
      <c r="A36" s="8"/>
      <c r="B36" s="8"/>
      <c r="C36" s="54"/>
      <c r="D36" s="57" t="s">
        <v>982</v>
      </c>
      <c r="E36" s="58" t="s">
        <v>1522</v>
      </c>
      <c r="F36" s="58" t="s">
        <v>1523</v>
      </c>
      <c r="G36" s="55"/>
      <c r="H36" s="99"/>
      <c r="I36" s="99"/>
      <c r="J36" s="99"/>
      <c r="K36" s="99"/>
      <c r="L36" s="99"/>
      <c r="M36" s="99"/>
      <c r="N36" s="99"/>
      <c r="O36" s="99"/>
      <c r="P36" s="99"/>
      <c r="Q36" s="99"/>
      <c r="R36" s="99"/>
      <c r="S36" s="99"/>
      <c r="T36" s="8"/>
    </row>
    <row r="37" spans="1:20">
      <c r="A37" s="8"/>
      <c r="B37" s="8"/>
      <c r="C37" s="54"/>
      <c r="D37" s="57" t="s">
        <v>983</v>
      </c>
      <c r="E37" s="58" t="s">
        <v>1182</v>
      </c>
      <c r="F37" s="58"/>
      <c r="G37" s="55"/>
      <c r="H37" s="99"/>
      <c r="I37" s="99"/>
      <c r="J37" s="99"/>
      <c r="K37" s="99"/>
      <c r="L37" s="99"/>
      <c r="M37" s="99"/>
      <c r="N37" s="99"/>
      <c r="O37" s="99"/>
      <c r="P37" s="99"/>
      <c r="Q37" s="99"/>
      <c r="R37" s="99"/>
      <c r="S37" s="99"/>
      <c r="T37" s="8"/>
    </row>
    <row r="38" spans="1:20" ht="72.599999999999994">
      <c r="A38" s="8"/>
      <c r="B38" s="8"/>
      <c r="C38" s="54"/>
      <c r="D38" s="57" t="s">
        <v>986</v>
      </c>
      <c r="E38" s="58" t="s">
        <v>1524</v>
      </c>
      <c r="F38" s="58"/>
      <c r="G38" s="55"/>
      <c r="H38" s="99"/>
      <c r="I38" s="161"/>
      <c r="J38" s="99"/>
      <c r="K38" s="99"/>
      <c r="L38" s="99"/>
      <c r="M38" s="99"/>
      <c r="N38" s="99"/>
      <c r="O38" s="99"/>
      <c r="P38" s="99"/>
      <c r="Q38" s="99"/>
      <c r="R38" s="99"/>
      <c r="S38" s="99"/>
      <c r="T38" s="8"/>
    </row>
    <row r="39" spans="1:20" ht="130.5">
      <c r="A39" s="8"/>
      <c r="B39" s="8"/>
      <c r="C39" s="54"/>
      <c r="D39" s="57" t="s">
        <v>985</v>
      </c>
      <c r="E39" s="58" t="s">
        <v>1525</v>
      </c>
      <c r="F39" s="58"/>
      <c r="G39" s="55"/>
      <c r="H39" s="99"/>
      <c r="I39" s="161"/>
      <c r="J39" s="99"/>
      <c r="K39" s="99"/>
      <c r="L39" s="99"/>
      <c r="M39" s="99"/>
      <c r="N39" s="99"/>
      <c r="O39" s="99"/>
      <c r="P39" s="99"/>
      <c r="Q39" s="99"/>
      <c r="R39" s="99"/>
      <c r="S39" s="99"/>
      <c r="T39" s="8"/>
    </row>
    <row r="40" spans="1:20">
      <c r="A40" s="8"/>
      <c r="B40" s="8"/>
      <c r="C40" s="54"/>
      <c r="D40" s="54"/>
      <c r="E40" s="54"/>
      <c r="F40" s="54"/>
      <c r="G40" s="99"/>
      <c r="H40" s="99"/>
      <c r="I40" s="161"/>
      <c r="J40" s="99"/>
      <c r="K40" s="99"/>
      <c r="L40" s="99"/>
      <c r="M40" s="99"/>
      <c r="N40" s="99"/>
      <c r="O40" s="99"/>
      <c r="P40" s="99"/>
      <c r="Q40" s="99"/>
      <c r="R40" s="99"/>
      <c r="S40" s="99"/>
      <c r="T40" s="8"/>
    </row>
    <row r="41" spans="1:20">
      <c r="A41" s="8"/>
      <c r="B41" s="8"/>
      <c r="C41" s="8"/>
      <c r="D41" s="8"/>
      <c r="E41" s="8"/>
      <c r="F41" s="8"/>
      <c r="G41" s="55"/>
      <c r="H41" s="55"/>
      <c r="I41" s="56"/>
      <c r="J41" s="55"/>
      <c r="K41" s="55"/>
      <c r="L41" s="55"/>
      <c r="M41" s="55"/>
      <c r="N41" s="55"/>
      <c r="O41" s="55"/>
      <c r="P41" s="55"/>
      <c r="Q41" s="55"/>
      <c r="R41" s="55"/>
      <c r="S41" s="55"/>
      <c r="T41" s="8"/>
    </row>
    <row r="42" spans="1:20" ht="18.600000000000001">
      <c r="A42" s="8"/>
      <c r="B42" s="8"/>
      <c r="C42" s="102" t="s">
        <v>78</v>
      </c>
      <c r="D42" s="102"/>
      <c r="E42" s="102"/>
      <c r="F42" s="102"/>
      <c r="G42" s="102"/>
      <c r="H42" s="102"/>
      <c r="I42" s="102"/>
      <c r="J42" s="102"/>
      <c r="K42" s="102"/>
      <c r="L42" s="102"/>
      <c r="M42" s="102"/>
      <c r="N42" s="102"/>
      <c r="O42" s="102"/>
      <c r="P42" s="102"/>
      <c r="Q42" s="102"/>
      <c r="R42" s="55"/>
      <c r="S42" s="55"/>
      <c r="T42" s="8"/>
    </row>
    <row r="43" spans="1:20" outlineLevel="1">
      <c r="A43" s="8"/>
      <c r="B43" s="8"/>
      <c r="C43" s="4"/>
      <c r="D43" s="4"/>
      <c r="E43" s="4"/>
      <c r="F43" s="4"/>
      <c r="G43" s="4"/>
      <c r="H43" s="4"/>
      <c r="I43" s="4"/>
      <c r="J43" s="4"/>
      <c r="K43" s="4"/>
      <c r="L43" s="4"/>
      <c r="M43" s="4"/>
      <c r="N43" s="4"/>
      <c r="O43" s="4"/>
      <c r="P43" s="4"/>
      <c r="Q43" s="4"/>
      <c r="R43" s="8"/>
      <c r="S43" s="8"/>
      <c r="T43" s="8"/>
    </row>
    <row r="44" spans="1:20" outlineLevel="1">
      <c r="A44" s="8"/>
      <c r="B44" s="8"/>
      <c r="C44" s="69" t="s">
        <v>238</v>
      </c>
      <c r="D44" s="7"/>
      <c r="E44" s="7"/>
      <c r="F44" s="7"/>
      <c r="G44" s="7"/>
      <c r="H44" s="7"/>
      <c r="I44" s="7"/>
      <c r="J44" s="7"/>
      <c r="K44" s="7"/>
      <c r="L44" s="7"/>
      <c r="M44" s="7"/>
      <c r="N44" s="7"/>
      <c r="O44" s="7"/>
      <c r="P44" s="7"/>
      <c r="Q44" s="7"/>
      <c r="R44" s="54"/>
      <c r="S44" s="54"/>
      <c r="T44" s="8"/>
    </row>
    <row r="45" spans="1:20">
      <c r="A45" s="8"/>
      <c r="B45" s="8"/>
      <c r="C45" s="8"/>
      <c r="D45" s="8"/>
      <c r="E45" s="8"/>
      <c r="F45" s="8"/>
      <c r="G45" s="8"/>
      <c r="H45" s="8"/>
      <c r="I45" s="8"/>
      <c r="J45" s="8"/>
      <c r="K45" s="8"/>
      <c r="L45" s="8"/>
      <c r="M45" s="8"/>
      <c r="N45" s="8"/>
      <c r="O45" s="8"/>
      <c r="P45" s="8"/>
      <c r="Q45" s="8"/>
      <c r="R45" s="8"/>
      <c r="S45" s="8"/>
      <c r="T45" s="8"/>
    </row>
  </sheetData>
  <mergeCells count="4">
    <mergeCell ref="P2:S2"/>
    <mergeCell ref="P3:S3"/>
    <mergeCell ref="C2:O2"/>
    <mergeCell ref="C3:O3"/>
  </mergeCells>
  <phoneticPr fontId="65"/>
  <hyperlinks>
    <hyperlink ref="E21" r:id="rId1" display="https://learn.microsoft.com/en-us/azure/architecture/web-apps/app-service/architectures/multi-region" xr:uid="{A729574B-6751-49E0-BEF0-8F93DF5A79E8}"/>
  </hyperlinks>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x14:cfRule type="cellIs" priority="21" operator="equal" id="{379CBD39-C1DB-4834-B79C-74CB5C9EEB17}">
            <xm:f>Data!$L$13</xm:f>
            <x14:dxf>
              <font>
                <color theme="0"/>
              </font>
              <fill>
                <patternFill>
                  <bgColor rgb="FFF25022"/>
                </patternFill>
              </fill>
            </x14:dxf>
          </x14:cfRule>
          <x14:cfRule type="cellIs" priority="22" operator="equal" id="{12123E16-8217-4AAE-BDE4-3A998407986C}">
            <xm:f>Data!$L$12</xm:f>
            <x14:dxf>
              <font>
                <color theme="0"/>
              </font>
              <fill>
                <patternFill>
                  <bgColor rgb="FFF25022"/>
                </patternFill>
              </fill>
            </x14:dxf>
          </x14:cfRule>
          <x14:cfRule type="cellIs" priority="23" operator="equal" id="{7492E459-A414-47C6-ABDC-ED2588C90EE4}">
            <xm:f>Data!$L$11</xm:f>
            <x14:dxf>
              <font>
                <color theme="0"/>
              </font>
              <fill>
                <patternFill>
                  <bgColor rgb="FFF25022"/>
                </patternFill>
              </fill>
            </x14:dxf>
          </x14:cfRule>
          <x14:cfRule type="cellIs" priority="24" operator="equal" id="{29140356-65E4-4A42-9608-828037337DDE}">
            <xm:f>Data!$L$10</xm:f>
            <x14:dxf>
              <font>
                <color theme="0"/>
              </font>
              <fill>
                <patternFill>
                  <bgColor rgb="FFF25022"/>
                </patternFill>
              </fill>
            </x14:dxf>
          </x14:cfRule>
          <x14:cfRule type="cellIs" priority="25" operator="equal" id="{3F5FA7A1-71A4-42BE-8131-6DCC1910342A}">
            <xm:f>Data!$L$6</xm:f>
            <x14:dxf>
              <font>
                <color theme="0"/>
              </font>
              <fill>
                <patternFill>
                  <bgColor rgb="FFF25022"/>
                </patternFill>
              </fill>
            </x14:dxf>
          </x14:cfRule>
          <x14:cfRule type="cellIs" priority="26" operator="equal" id="{D100C703-F23F-4C55-BD04-192D34EFE16B}">
            <xm:f>Data!$L$9</xm:f>
            <x14:dxf>
              <font>
                <color theme="1"/>
              </font>
              <fill>
                <patternFill>
                  <bgColor rgb="FF7FBA00"/>
                </patternFill>
              </fill>
            </x14:dxf>
          </x14:cfRule>
          <x14:cfRule type="cellIs" priority="27" operator="equal" id="{E722499E-6927-40A1-AB0F-55835B56D449}">
            <xm:f>Data!$L$8</xm:f>
            <x14:dxf>
              <font>
                <color theme="1"/>
              </font>
              <fill>
                <patternFill>
                  <bgColor rgb="FF00A4EF"/>
                </patternFill>
              </fill>
            </x14:dxf>
          </x14:cfRule>
          <x14:cfRule type="cellIs" priority="28" operator="equal" id="{4F857F7E-BE55-4060-BB27-C20FDAE264D8}">
            <xm:f>Data!$L$7</xm:f>
            <x14:dxf>
              <font>
                <color theme="1"/>
              </font>
              <fill>
                <patternFill>
                  <bgColor rgb="FFFFB900"/>
                </patternFill>
              </fill>
            </x14:dxf>
          </x14:cfRule>
          <x14:cfRule type="cellIs" priority="29" operator="equal" id="{E909309A-87A2-4C41-953B-FDAB7602A51F}">
            <xm:f>Data!$L$5</xm:f>
            <x14:dxf>
              <font>
                <color theme="0"/>
              </font>
              <fill>
                <patternFill>
                  <bgColor rgb="FFF25022"/>
                </patternFill>
              </fill>
            </x14:dxf>
          </x14:cfRule>
          <xm:sqref>D29:F37 I32:S37 G32:H41 L38:L39 J38:J41 P38:R41</xm:sqref>
        </x14:conditionalFormatting>
        <x14:conditionalFormatting xmlns:xm="http://schemas.microsoft.com/office/excel/2006/main">
          <x14:cfRule type="cellIs" priority="30" operator="equal" id="{79C4067F-9EB7-41C8-8110-490B5FFCAD4C}">
            <xm:f>Data!$L$6+Data!$L$14</xm:f>
            <x14:dxf>
              <font>
                <color theme="0"/>
              </font>
              <fill>
                <patternFill>
                  <bgColor rgb="FF747474"/>
                </patternFill>
              </fill>
            </x14:dxf>
          </x14:cfRule>
          <xm:sqref>D29:F38 I32:S37 G32:H41 L38:L39 J38:J41 P38:R41 R42:S42</xm:sqref>
        </x14:conditionalFormatting>
        <x14:conditionalFormatting xmlns:xm="http://schemas.microsoft.com/office/excel/2006/main">
          <x14:cfRule type="cellIs" priority="1" operator="equal" id="{6B81A1D7-F42C-41E7-B1A7-7892610E78D6}">
            <xm:f>Data!$L$13</xm:f>
            <x14:dxf>
              <font>
                <color theme="0"/>
              </font>
              <fill>
                <patternFill>
                  <bgColor rgb="FFF25022"/>
                </patternFill>
              </fill>
            </x14:dxf>
          </x14:cfRule>
          <x14:cfRule type="cellIs" priority="2" operator="equal" id="{DDBF8164-94BB-49BD-8188-84E734CB8C43}">
            <xm:f>Data!$L$12</xm:f>
            <x14:dxf>
              <font>
                <color theme="0"/>
              </font>
              <fill>
                <patternFill>
                  <bgColor rgb="FFF25022"/>
                </patternFill>
              </fill>
            </x14:dxf>
          </x14:cfRule>
          <x14:cfRule type="cellIs" priority="3" operator="equal" id="{7333D052-A063-4818-B0D5-C8E9ABAD2C6D}">
            <xm:f>Data!$L$11</xm:f>
            <x14:dxf>
              <font>
                <color theme="0"/>
              </font>
              <fill>
                <patternFill>
                  <bgColor rgb="FFF25022"/>
                </patternFill>
              </fill>
            </x14:dxf>
          </x14:cfRule>
          <x14:cfRule type="cellIs" priority="4" operator="equal" id="{8C509FE4-8016-4E18-91AF-CE263B492303}">
            <xm:f>Data!$L$10</xm:f>
            <x14:dxf>
              <font>
                <color theme="0"/>
              </font>
              <fill>
                <patternFill>
                  <bgColor rgb="FFF25022"/>
                </patternFill>
              </fill>
            </x14:dxf>
          </x14:cfRule>
          <x14:cfRule type="cellIs" priority="5" operator="equal" id="{CBC96172-27DA-417F-9AA1-F486FA5BED3C}">
            <xm:f>Data!$L$6</xm:f>
            <x14:dxf>
              <font>
                <color theme="0"/>
              </font>
              <fill>
                <patternFill>
                  <bgColor rgb="FFF25022"/>
                </patternFill>
              </fill>
            </x14:dxf>
          </x14:cfRule>
          <x14:cfRule type="cellIs" priority="6" operator="equal" id="{39865060-39BB-424C-A8EA-753E3674EA16}">
            <xm:f>Data!$L$9</xm:f>
            <x14:dxf>
              <font>
                <color theme="1"/>
              </font>
              <fill>
                <patternFill>
                  <bgColor rgb="FF7FBA00"/>
                </patternFill>
              </fill>
            </x14:dxf>
          </x14:cfRule>
          <x14:cfRule type="cellIs" priority="7" operator="equal" id="{AC93B097-2932-4CAB-B3ED-7113396460CB}">
            <xm:f>Data!$L$8</xm:f>
            <x14:dxf>
              <font>
                <color theme="1"/>
              </font>
              <fill>
                <patternFill>
                  <bgColor rgb="FF00A4EF"/>
                </patternFill>
              </fill>
            </x14:dxf>
          </x14:cfRule>
          <x14:cfRule type="cellIs" priority="8" operator="equal" id="{627C5E24-882D-4FF2-95D1-753DA12B67AF}">
            <xm:f>Data!$L$7</xm:f>
            <x14:dxf>
              <font>
                <color theme="1"/>
              </font>
              <fill>
                <patternFill>
                  <bgColor rgb="FFFFB900"/>
                </patternFill>
              </fill>
            </x14:dxf>
          </x14:cfRule>
          <x14:cfRule type="cellIs" priority="9" operator="equal" id="{A6C9CB1E-B249-4AC1-BE8B-1795BF93CB14}">
            <xm:f>Data!$L$5</xm:f>
            <x14:dxf>
              <font>
                <color theme="0"/>
              </font>
              <fill>
                <patternFill>
                  <bgColor rgb="FFF25022"/>
                </patternFill>
              </fill>
            </x14:dxf>
          </x14:cfRule>
          <x14:cfRule type="cellIs" priority="10" operator="equal" id="{60B90AC0-1430-41E5-AB27-CC7C489E3561}">
            <xm:f>Data!$L$6+Data!$L$14</xm:f>
            <x14:dxf>
              <font>
                <color theme="0"/>
              </font>
              <fill>
                <patternFill>
                  <bgColor rgb="FF747474"/>
                </patternFill>
              </fill>
            </x14:dxf>
          </x14:cfRule>
          <xm:sqref>E14:E15</xm:sqref>
        </x14:conditionalFormatting>
        <x14:conditionalFormatting xmlns:xm="http://schemas.microsoft.com/office/excel/2006/main">
          <x14:cfRule type="iconSet" priority="31" id="{5F419FC1-E1FE-40F7-8E40-67B75A726BD0}">
            <x14:iconSet iconSet="5Boxes" showValue="0" reverse="1">
              <x14:cfvo type="percent">
                <xm:f>0</xm:f>
              </x14:cfvo>
              <x14:cfvo type="num">
                <xm:f>2</xm:f>
              </x14:cfvo>
              <x14:cfvo type="num">
                <xm:f>3</xm:f>
              </x14:cfvo>
              <x14:cfvo type="num">
                <xm:f>4</xm:f>
              </x14:cfvo>
              <x14:cfvo type="num">
                <xm:f>5</xm:f>
              </x14:cfvo>
            </x14:iconSet>
          </x14:cfRule>
          <xm:sqref>E29:E38</xm:sqref>
        </x14:conditionalFormatting>
      </x14:conditionalFormatting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9EF14D-94FD-4CF4-BE4A-4C406BFB62D6}">
  <sheetPr>
    <tabColor rgb="FFFFB900"/>
  </sheetPr>
  <dimension ref="A1:P46"/>
  <sheetViews>
    <sheetView showGridLines="0" showRowColHeaders="0" zoomScaleNormal="100" workbookViewId="0">
      <selection activeCell="M16" sqref="M16"/>
    </sheetView>
  </sheetViews>
  <sheetFormatPr defaultColWidth="0" defaultRowHeight="14.45" zeroHeight="1" outlineLevelRow="1"/>
  <cols>
    <col min="1" max="2" width="5.85546875" customWidth="1"/>
    <col min="3" max="3" width="3.85546875" customWidth="1"/>
    <col min="4" max="4" width="20.42578125" bestFit="1" customWidth="1"/>
    <col min="5" max="5" width="57.140625" bestFit="1" customWidth="1"/>
    <col min="6" max="6" width="14.42578125" bestFit="1" customWidth="1"/>
    <col min="7" max="7" width="17.85546875" bestFit="1" customWidth="1"/>
    <col min="8" max="8" width="9" bestFit="1" customWidth="1"/>
    <col min="9" max="9" width="32.42578125" bestFit="1" customWidth="1"/>
    <col min="10" max="10" width="12.140625" bestFit="1" customWidth="1"/>
    <col min="11" max="11" width="12" bestFit="1" customWidth="1"/>
    <col min="12" max="12" width="17.5703125" bestFit="1" customWidth="1"/>
    <col min="13" max="13" width="16.140625" bestFit="1" customWidth="1"/>
    <col min="14" max="14" width="12" bestFit="1" customWidth="1"/>
    <col min="15" max="15" width="17.5703125" bestFit="1" customWidth="1"/>
    <col min="16" max="16" width="3.85546875" customWidth="1"/>
    <col min="17" max="16384" width="8.85546875" hidden="1"/>
  </cols>
  <sheetData>
    <row r="1" spans="1:16">
      <c r="A1" s="4"/>
      <c r="B1" s="4"/>
      <c r="C1" s="4"/>
      <c r="D1" s="4"/>
      <c r="E1" s="4"/>
      <c r="F1" s="4"/>
      <c r="G1" s="4"/>
      <c r="H1" s="4"/>
      <c r="I1" s="4"/>
      <c r="J1" s="4"/>
      <c r="K1" s="4"/>
      <c r="L1" s="4"/>
      <c r="M1" s="4"/>
      <c r="N1" s="4"/>
      <c r="O1" s="4"/>
      <c r="P1" s="4"/>
    </row>
    <row r="2" spans="1:16" ht="21">
      <c r="A2" s="4"/>
      <c r="B2" s="4"/>
      <c r="C2" s="707" t="s">
        <v>1526</v>
      </c>
      <c r="D2" s="707"/>
      <c r="E2" s="707"/>
      <c r="F2" s="707"/>
      <c r="G2" s="707"/>
      <c r="H2" s="707"/>
      <c r="I2" s="707"/>
      <c r="J2" s="707"/>
      <c r="K2" s="707"/>
      <c r="L2" s="707"/>
      <c r="M2" s="707"/>
      <c r="N2" s="707"/>
      <c r="O2" s="707"/>
      <c r="P2" s="4"/>
    </row>
    <row r="3" spans="1:16">
      <c r="A3" s="4"/>
      <c r="B3" s="4"/>
      <c r="C3" s="708" t="s">
        <v>1527</v>
      </c>
      <c r="D3" s="708"/>
      <c r="E3" s="708"/>
      <c r="F3" s="708"/>
      <c r="G3" s="708"/>
      <c r="H3" s="708"/>
      <c r="I3" s="708"/>
      <c r="J3" s="708"/>
      <c r="K3" s="708"/>
      <c r="L3" s="708"/>
      <c r="M3" s="708"/>
      <c r="N3" s="708"/>
      <c r="O3" s="708"/>
      <c r="P3" s="4"/>
    </row>
    <row r="4" spans="1:16" s="4" customFormat="1">
      <c r="C4" s="200"/>
      <c r="D4" s="200"/>
      <c r="E4" s="200"/>
      <c r="F4" s="200"/>
      <c r="G4" s="200"/>
      <c r="H4" s="200"/>
      <c r="I4" s="200"/>
      <c r="J4" s="200"/>
      <c r="K4" s="200"/>
      <c r="L4" s="200"/>
      <c r="M4" s="200"/>
      <c r="N4" s="200"/>
      <c r="O4" s="200"/>
    </row>
    <row r="5" spans="1:16" ht="14.45" customHeight="1">
      <c r="A5" s="4"/>
      <c r="B5" s="4"/>
      <c r="C5" s="198"/>
      <c r="D5" s="7"/>
      <c r="E5" s="7"/>
      <c r="F5" s="7"/>
      <c r="G5" s="7"/>
      <c r="H5" s="7"/>
      <c r="I5" s="7"/>
      <c r="J5" s="7"/>
      <c r="K5" s="7"/>
      <c r="L5" s="7"/>
      <c r="M5" s="7"/>
      <c r="N5" s="7"/>
      <c r="O5" s="7"/>
      <c r="P5" s="4"/>
    </row>
    <row r="6" spans="1:16" ht="14.45" customHeight="1">
      <c r="A6" s="4"/>
      <c r="B6" s="4"/>
      <c r="C6" s="198"/>
      <c r="D6" s="107" t="s">
        <v>890</v>
      </c>
      <c r="E6" s="244" t="s">
        <v>891</v>
      </c>
      <c r="F6" s="7"/>
      <c r="G6" s="7"/>
      <c r="H6" s="7"/>
      <c r="I6" s="7"/>
      <c r="J6" s="7"/>
      <c r="K6" s="7"/>
      <c r="L6" s="7"/>
      <c r="M6" s="7"/>
      <c r="N6" s="7"/>
      <c r="O6" s="7"/>
      <c r="P6" s="4"/>
    </row>
    <row r="7" spans="1:16" ht="14.45" customHeight="1">
      <c r="A7" s="4"/>
      <c r="B7" s="4"/>
      <c r="C7" s="198"/>
      <c r="D7" s="107" t="s">
        <v>892</v>
      </c>
      <c r="E7" s="244" t="s">
        <v>893</v>
      </c>
      <c r="F7" s="7"/>
      <c r="G7" s="7"/>
      <c r="H7" s="7"/>
      <c r="I7" s="7"/>
      <c r="J7" s="7"/>
      <c r="K7" s="7"/>
      <c r="L7" s="7"/>
      <c r="M7" s="7"/>
      <c r="N7" s="7"/>
      <c r="O7" s="7"/>
      <c r="P7" s="4"/>
    </row>
    <row r="8" spans="1:16" ht="14.45" customHeight="1">
      <c r="A8" s="4"/>
      <c r="B8" s="4"/>
      <c r="C8" s="198"/>
      <c r="D8" s="107" t="s">
        <v>117</v>
      </c>
      <c r="E8" s="244" t="s">
        <v>894</v>
      </c>
      <c r="F8" s="7"/>
      <c r="G8" s="7"/>
      <c r="H8" s="7"/>
      <c r="I8" s="7"/>
      <c r="J8" s="7"/>
      <c r="K8" s="7"/>
      <c r="L8" s="7"/>
      <c r="M8" s="7"/>
      <c r="N8" s="7"/>
      <c r="O8" s="7"/>
      <c r="P8" s="4"/>
    </row>
    <row r="9" spans="1:16" ht="14.45" customHeight="1">
      <c r="A9" s="4"/>
      <c r="B9" s="4"/>
      <c r="C9" s="198"/>
      <c r="D9" s="107" t="s">
        <v>822</v>
      </c>
      <c r="E9" s="244"/>
      <c r="F9" s="7"/>
      <c r="G9" s="7"/>
      <c r="H9" s="7"/>
      <c r="I9" s="7"/>
      <c r="J9" s="7"/>
      <c r="K9" s="7"/>
      <c r="L9" s="7"/>
      <c r="M9" s="7"/>
      <c r="N9" s="7"/>
      <c r="O9" s="7"/>
      <c r="P9" s="4"/>
    </row>
    <row r="10" spans="1:16" ht="14.45" customHeight="1">
      <c r="A10" s="4"/>
      <c r="B10" s="4"/>
      <c r="C10" s="198"/>
      <c r="D10" s="107" t="s">
        <v>895</v>
      </c>
      <c r="E10" s="244"/>
      <c r="F10" s="7"/>
      <c r="G10" s="159"/>
      <c r="H10" s="159"/>
      <c r="I10" s="159"/>
      <c r="J10" s="159"/>
      <c r="K10" s="159"/>
      <c r="L10" s="7"/>
      <c r="M10" s="7"/>
      <c r="N10" s="7"/>
      <c r="O10" s="7"/>
      <c r="P10" s="4"/>
    </row>
    <row r="11" spans="1:16">
      <c r="A11" s="4"/>
      <c r="B11" s="4"/>
      <c r="C11" s="7"/>
      <c r="D11" s="107" t="s">
        <v>896</v>
      </c>
      <c r="E11" s="244"/>
      <c r="F11" s="7"/>
      <c r="G11" s="7"/>
      <c r="H11" s="7"/>
      <c r="I11" s="7"/>
      <c r="J11" s="7"/>
      <c r="K11" s="7"/>
      <c r="L11" s="7"/>
      <c r="M11" s="7"/>
      <c r="N11" s="7"/>
      <c r="O11" s="7"/>
      <c r="P11" s="4"/>
    </row>
    <row r="12" spans="1:16">
      <c r="A12" s="4"/>
      <c r="B12" s="4"/>
      <c r="C12" s="7"/>
      <c r="D12" s="107" t="s">
        <v>477</v>
      </c>
      <c r="E12" s="244"/>
      <c r="F12" s="7"/>
      <c r="G12" s="7"/>
      <c r="H12" s="7"/>
      <c r="I12" s="7"/>
      <c r="J12" s="7"/>
      <c r="K12" s="7"/>
      <c r="L12" s="7"/>
      <c r="M12" s="7"/>
      <c r="N12" s="7"/>
      <c r="O12" s="7"/>
      <c r="P12" s="4"/>
    </row>
    <row r="13" spans="1:16">
      <c r="A13" s="4"/>
      <c r="B13" s="4"/>
      <c r="C13" s="7"/>
      <c r="D13" s="107" t="s">
        <v>897</v>
      </c>
      <c r="E13" s="244" t="s">
        <v>317</v>
      </c>
      <c r="F13" s="7"/>
      <c r="G13" s="7"/>
      <c r="H13" s="7"/>
      <c r="I13" s="7"/>
      <c r="J13" s="7"/>
      <c r="K13" s="7"/>
      <c r="L13" s="7"/>
      <c r="M13" s="7"/>
      <c r="N13" s="7"/>
      <c r="O13" s="7"/>
      <c r="P13" s="4"/>
    </row>
    <row r="14" spans="1:16">
      <c r="A14" s="4"/>
      <c r="B14" s="4"/>
      <c r="C14" s="7"/>
      <c r="D14" s="107" t="s">
        <v>267</v>
      </c>
      <c r="E14" s="245" t="s">
        <v>328</v>
      </c>
      <c r="F14" s="7"/>
      <c r="G14" s="7"/>
      <c r="H14" s="7"/>
      <c r="I14" s="7"/>
      <c r="J14" s="7"/>
      <c r="K14" s="7"/>
      <c r="L14" s="7"/>
      <c r="M14" s="7"/>
      <c r="N14" s="7"/>
      <c r="O14" s="7"/>
      <c r="P14" s="4"/>
    </row>
    <row r="15" spans="1:16">
      <c r="A15" s="4"/>
      <c r="B15" s="4"/>
      <c r="C15" s="7"/>
      <c r="D15" s="107" t="s">
        <v>898</v>
      </c>
      <c r="E15" s="372" t="s">
        <v>899</v>
      </c>
      <c r="F15" s="7"/>
      <c r="G15" s="7"/>
      <c r="H15" s="7"/>
      <c r="I15" s="7"/>
      <c r="J15" s="7"/>
      <c r="K15" s="7"/>
      <c r="L15" s="7"/>
      <c r="M15" s="7"/>
      <c r="N15" s="7"/>
      <c r="O15" s="7"/>
      <c r="P15" s="4"/>
    </row>
    <row r="16" spans="1:16">
      <c r="A16" s="4"/>
      <c r="B16" s="4"/>
      <c r="C16" s="7"/>
      <c r="D16" s="107" t="s">
        <v>900</v>
      </c>
      <c r="E16" s="246">
        <v>45020</v>
      </c>
      <c r="F16" s="7"/>
      <c r="G16" s="7"/>
      <c r="H16" s="7"/>
      <c r="I16" s="7"/>
      <c r="J16" s="7"/>
      <c r="K16" s="7"/>
      <c r="L16" s="7"/>
      <c r="M16" s="7"/>
      <c r="N16" s="7"/>
      <c r="O16" s="7"/>
      <c r="P16" s="4"/>
    </row>
    <row r="17" spans="1:16">
      <c r="A17" s="4"/>
      <c r="B17" s="4"/>
      <c r="C17" s="7"/>
      <c r="D17" s="107" t="s">
        <v>901</v>
      </c>
      <c r="E17" s="246">
        <v>45386</v>
      </c>
      <c r="F17" s="7"/>
      <c r="G17" s="7"/>
      <c r="H17" s="7"/>
      <c r="I17" s="7"/>
      <c r="J17" s="7"/>
      <c r="K17" s="7"/>
      <c r="L17" s="7"/>
      <c r="M17" s="7"/>
      <c r="N17" s="7"/>
      <c r="O17" s="7"/>
      <c r="P17" s="4"/>
    </row>
    <row r="18" spans="1:16">
      <c r="A18" s="4"/>
      <c r="B18" s="4"/>
      <c r="C18" s="7"/>
      <c r="D18" s="107" t="s">
        <v>902</v>
      </c>
      <c r="E18" s="247">
        <v>43160</v>
      </c>
      <c r="F18" s="7"/>
      <c r="G18" s="7"/>
      <c r="H18" s="7"/>
      <c r="I18" s="7"/>
      <c r="J18" s="7"/>
      <c r="K18" s="7"/>
      <c r="L18" s="7"/>
      <c r="M18" s="7"/>
      <c r="N18" s="7"/>
      <c r="O18" s="7"/>
      <c r="P18" s="4"/>
    </row>
    <row r="19" spans="1:16">
      <c r="A19" s="4"/>
      <c r="B19" s="4"/>
      <c r="C19" s="7"/>
      <c r="D19" s="107" t="s">
        <v>903</v>
      </c>
      <c r="E19" s="247" t="s">
        <v>904</v>
      </c>
      <c r="F19" s="7"/>
      <c r="G19" s="7"/>
      <c r="H19" s="7"/>
      <c r="I19" s="7"/>
      <c r="J19" s="7"/>
      <c r="K19" s="7"/>
      <c r="L19" s="7"/>
      <c r="M19" s="7"/>
      <c r="N19" s="7"/>
      <c r="O19" s="7"/>
      <c r="P19" s="4"/>
    </row>
    <row r="20" spans="1:16">
      <c r="A20" s="4"/>
      <c r="B20" s="4"/>
      <c r="C20" s="7"/>
      <c r="D20" s="107" t="s">
        <v>905</v>
      </c>
      <c r="E20" s="247" t="s">
        <v>906</v>
      </c>
      <c r="F20" s="7"/>
      <c r="G20" s="7"/>
      <c r="H20" s="7"/>
      <c r="I20" s="7"/>
      <c r="J20" s="7"/>
      <c r="K20" s="7"/>
      <c r="L20" s="7"/>
      <c r="M20" s="7"/>
      <c r="N20" s="7"/>
      <c r="O20" s="7"/>
      <c r="P20" s="4"/>
    </row>
    <row r="21" spans="1:16">
      <c r="A21" s="4"/>
      <c r="B21" s="4"/>
      <c r="C21" s="7"/>
      <c r="D21" s="108" t="s">
        <v>907</v>
      </c>
      <c r="E21" s="248" t="s">
        <v>908</v>
      </c>
      <c r="F21" s="7"/>
      <c r="G21" s="7"/>
      <c r="H21" s="7"/>
      <c r="I21" s="7"/>
      <c r="J21" s="7"/>
      <c r="K21" s="7"/>
      <c r="L21" s="7"/>
      <c r="M21" s="7"/>
      <c r="N21" s="7"/>
      <c r="O21" s="7"/>
      <c r="P21" s="4"/>
    </row>
    <row r="22" spans="1:16">
      <c r="A22" s="4"/>
      <c r="B22" s="4"/>
      <c r="C22" s="7"/>
      <c r="D22" s="355" t="s">
        <v>1512</v>
      </c>
      <c r="E22" s="247" t="s">
        <v>1513</v>
      </c>
      <c r="F22" s="7"/>
      <c r="G22" s="7"/>
      <c r="H22" s="7"/>
      <c r="I22" s="7"/>
      <c r="J22" s="7"/>
      <c r="K22" s="7"/>
      <c r="L22" s="7"/>
      <c r="M22" s="7"/>
      <c r="N22" s="7"/>
      <c r="O22" s="7"/>
      <c r="P22" s="4"/>
    </row>
    <row r="23" spans="1:16">
      <c r="A23" s="4"/>
      <c r="B23" s="4"/>
      <c r="C23" s="7"/>
      <c r="D23" s="355" t="s">
        <v>1514</v>
      </c>
      <c r="E23" s="247" t="s">
        <v>822</v>
      </c>
      <c r="F23" s="7"/>
      <c r="G23" s="7"/>
      <c r="H23" s="7"/>
      <c r="I23" s="7"/>
      <c r="J23" s="7"/>
      <c r="K23" s="7"/>
      <c r="L23" s="7"/>
      <c r="M23" s="7"/>
      <c r="N23" s="7"/>
      <c r="O23" s="7"/>
      <c r="P23" s="4"/>
    </row>
    <row r="24" spans="1:16">
      <c r="A24" s="4"/>
      <c r="B24" s="4"/>
      <c r="C24" s="7"/>
      <c r="D24" s="7"/>
      <c r="E24" s="7"/>
      <c r="F24" s="7"/>
      <c r="G24" s="7"/>
      <c r="H24" s="7"/>
      <c r="I24" s="7"/>
      <c r="J24" s="7"/>
      <c r="K24" s="7"/>
      <c r="L24" s="7"/>
      <c r="M24" s="7"/>
      <c r="N24" s="7"/>
      <c r="O24" s="7"/>
      <c r="P24" s="4"/>
    </row>
    <row r="25" spans="1:16">
      <c r="A25" s="4"/>
      <c r="B25" s="4"/>
      <c r="C25" s="7"/>
      <c r="D25" s="7"/>
      <c r="E25" s="7"/>
      <c r="F25" s="7"/>
      <c r="G25" s="7"/>
      <c r="H25" s="7"/>
      <c r="I25" s="7"/>
      <c r="J25" s="7"/>
      <c r="K25" s="7"/>
      <c r="L25" s="7"/>
      <c r="M25" s="7"/>
      <c r="N25" s="7"/>
      <c r="O25" s="7"/>
      <c r="P25" s="4"/>
    </row>
    <row r="26" spans="1:16">
      <c r="A26" s="4"/>
      <c r="B26" s="4"/>
      <c r="C26" s="7"/>
      <c r="D26" s="7"/>
      <c r="E26" s="7"/>
      <c r="F26" s="7"/>
      <c r="G26" s="7"/>
      <c r="H26" s="7"/>
      <c r="I26" s="7"/>
      <c r="J26" s="7"/>
      <c r="K26" s="7"/>
      <c r="L26" s="7"/>
      <c r="M26" s="7"/>
      <c r="N26" s="7"/>
      <c r="O26" s="7"/>
      <c r="P26" s="4"/>
    </row>
    <row r="27" spans="1:16">
      <c r="A27" s="4"/>
      <c r="B27" s="4"/>
      <c r="C27" s="7"/>
      <c r="D27" s="7"/>
      <c r="E27" s="7"/>
      <c r="F27" s="7"/>
      <c r="G27" s="7"/>
      <c r="H27" s="7"/>
      <c r="I27" s="7"/>
      <c r="J27" s="7"/>
      <c r="K27" s="7"/>
      <c r="L27" s="7"/>
      <c r="M27" s="7"/>
      <c r="N27" s="7"/>
      <c r="O27" s="7"/>
      <c r="P27" s="4"/>
    </row>
    <row r="28" spans="1:16">
      <c r="A28" s="4"/>
      <c r="B28" s="4"/>
      <c r="C28" s="7"/>
      <c r="D28" s="7"/>
      <c r="E28" s="7"/>
      <c r="F28" s="7"/>
      <c r="G28" s="7"/>
      <c r="H28" s="7"/>
      <c r="I28" s="7"/>
      <c r="J28" s="7"/>
      <c r="K28" s="7"/>
      <c r="L28" s="7"/>
      <c r="M28" s="7"/>
      <c r="N28" s="7"/>
      <c r="O28" s="7"/>
      <c r="P28" s="4"/>
    </row>
    <row r="29" spans="1:16">
      <c r="A29" s="4"/>
      <c r="B29" s="4"/>
      <c r="C29" s="7"/>
      <c r="D29" s="7"/>
      <c r="E29" s="7"/>
      <c r="F29" s="7"/>
      <c r="G29" s="7"/>
      <c r="H29" s="7"/>
      <c r="I29" s="7"/>
      <c r="J29" s="7"/>
      <c r="K29" s="7"/>
      <c r="L29" s="7"/>
      <c r="M29" s="7"/>
      <c r="N29" s="7"/>
      <c r="O29" s="7"/>
      <c r="P29" s="4"/>
    </row>
    <row r="30" spans="1:16">
      <c r="A30" s="4"/>
      <c r="B30" s="4"/>
      <c r="C30" s="7"/>
      <c r="D30" s="7"/>
      <c r="E30" s="7"/>
      <c r="F30" s="7"/>
      <c r="G30" s="7"/>
      <c r="H30" s="7"/>
      <c r="I30" s="7"/>
      <c r="J30" s="7"/>
      <c r="K30" s="7"/>
      <c r="L30" s="7"/>
      <c r="M30" s="7"/>
      <c r="N30" s="7"/>
      <c r="O30" s="7"/>
      <c r="P30" s="4"/>
    </row>
    <row r="31" spans="1:16">
      <c r="A31" s="4"/>
      <c r="B31" s="4"/>
      <c r="C31" s="7"/>
      <c r="D31" s="7"/>
      <c r="E31" s="7"/>
      <c r="F31" s="7"/>
      <c r="G31" s="7"/>
      <c r="H31" s="7"/>
      <c r="I31" s="7"/>
      <c r="J31" s="7"/>
      <c r="K31" s="7"/>
      <c r="L31" s="7"/>
      <c r="M31" s="7"/>
      <c r="N31" s="7"/>
      <c r="O31" s="7"/>
      <c r="P31" s="4"/>
    </row>
    <row r="32" spans="1:16">
      <c r="A32" s="4"/>
      <c r="B32" s="4"/>
      <c r="C32" s="7"/>
      <c r="D32" s="7"/>
      <c r="E32" s="7"/>
      <c r="F32" s="7"/>
      <c r="G32" s="7"/>
      <c r="H32" s="7"/>
      <c r="I32" s="7"/>
      <c r="J32" s="7"/>
      <c r="K32" s="7"/>
      <c r="L32" s="7"/>
      <c r="M32" s="7"/>
      <c r="N32" s="7"/>
      <c r="O32" s="7"/>
      <c r="P32" s="4"/>
    </row>
    <row r="33" spans="1:16">
      <c r="A33" s="4"/>
      <c r="B33" s="4"/>
      <c r="C33" s="7"/>
      <c r="D33" s="7"/>
      <c r="E33" s="7"/>
      <c r="F33" s="7"/>
      <c r="G33" s="7"/>
      <c r="H33" s="7"/>
      <c r="I33" s="7"/>
      <c r="J33" s="7"/>
      <c r="K33" s="7"/>
      <c r="L33" s="7"/>
      <c r="M33" s="7"/>
      <c r="N33" s="7"/>
      <c r="O33" s="7"/>
      <c r="P33" s="4"/>
    </row>
    <row r="34" spans="1:16">
      <c r="A34" s="4"/>
      <c r="B34" s="4"/>
      <c r="C34" s="7"/>
      <c r="D34" s="7"/>
      <c r="E34" s="7"/>
      <c r="F34" s="7"/>
      <c r="G34" s="7"/>
      <c r="H34" s="7"/>
      <c r="I34" s="7"/>
      <c r="J34" s="7"/>
      <c r="K34" s="7"/>
      <c r="L34" s="7"/>
      <c r="M34" s="7"/>
      <c r="N34" s="7"/>
      <c r="O34" s="7"/>
      <c r="P34" s="4"/>
    </row>
    <row r="35" spans="1:16">
      <c r="A35" s="4"/>
      <c r="B35" s="4"/>
      <c r="C35" s="4"/>
      <c r="D35" s="4"/>
      <c r="E35" s="4"/>
      <c r="F35" s="4"/>
      <c r="G35" s="4"/>
      <c r="H35" s="4"/>
      <c r="I35" s="4"/>
      <c r="J35" s="4"/>
      <c r="K35" s="4"/>
      <c r="L35" s="4"/>
      <c r="M35" s="4"/>
      <c r="N35" s="4"/>
      <c r="O35" s="4"/>
      <c r="P35" s="4"/>
    </row>
    <row r="36" spans="1:16">
      <c r="A36" s="4"/>
      <c r="B36" s="4"/>
      <c r="C36" s="4"/>
      <c r="D36" s="16" t="s">
        <v>1115</v>
      </c>
      <c r="E36" s="16" t="s">
        <v>1528</v>
      </c>
      <c r="F36" s="16" t="s">
        <v>1529</v>
      </c>
      <c r="G36" s="16" t="s">
        <v>117</v>
      </c>
      <c r="H36" s="16" t="s">
        <v>1530</v>
      </c>
      <c r="I36" s="16" t="s">
        <v>1531</v>
      </c>
      <c r="J36" s="16" t="s">
        <v>1532</v>
      </c>
      <c r="K36" s="16" t="s">
        <v>1533</v>
      </c>
      <c r="L36" s="16" t="s">
        <v>119</v>
      </c>
      <c r="M36" s="16" t="s">
        <v>1534</v>
      </c>
      <c r="N36" s="4"/>
      <c r="O36" s="4"/>
      <c r="P36" s="4"/>
    </row>
    <row r="37" spans="1:16">
      <c r="A37" s="4"/>
      <c r="B37" s="4"/>
      <c r="C37" s="4"/>
      <c r="D37" s="16" t="s">
        <v>1535</v>
      </c>
      <c r="E37" s="16" t="s">
        <v>475</v>
      </c>
      <c r="F37" s="16" t="s">
        <v>1536</v>
      </c>
      <c r="G37" s="16" t="s">
        <v>1537</v>
      </c>
      <c r="H37" s="16" t="s">
        <v>922</v>
      </c>
      <c r="I37" s="10" t="s">
        <v>1538</v>
      </c>
      <c r="J37" s="16" t="s">
        <v>1539</v>
      </c>
      <c r="K37" s="16" t="s">
        <v>1540</v>
      </c>
      <c r="L37" s="16"/>
      <c r="M37" s="16" t="s">
        <v>1541</v>
      </c>
      <c r="N37" s="4"/>
      <c r="O37" s="4"/>
      <c r="P37" s="4"/>
    </row>
    <row r="38" spans="1:16">
      <c r="A38" s="4"/>
      <c r="B38" s="4"/>
      <c r="C38" s="4"/>
      <c r="D38" s="16" t="s">
        <v>1542</v>
      </c>
      <c r="E38" s="16" t="s">
        <v>476</v>
      </c>
      <c r="F38" s="16" t="s">
        <v>893</v>
      </c>
      <c r="G38" s="16" t="s">
        <v>1537</v>
      </c>
      <c r="H38" s="16" t="s">
        <v>922</v>
      </c>
      <c r="I38" s="10" t="s">
        <v>1543</v>
      </c>
      <c r="J38" s="16" t="s">
        <v>1539</v>
      </c>
      <c r="K38" s="16" t="s">
        <v>1540</v>
      </c>
      <c r="L38" s="16"/>
      <c r="M38" s="16" t="s">
        <v>1541</v>
      </c>
      <c r="N38" s="4"/>
      <c r="O38" s="4"/>
      <c r="P38" s="4"/>
    </row>
    <row r="39" spans="1:16">
      <c r="A39" s="4"/>
      <c r="B39" s="4"/>
      <c r="C39" s="4"/>
      <c r="D39" s="16" t="s">
        <v>1544</v>
      </c>
      <c r="E39" s="16" t="s">
        <v>477</v>
      </c>
      <c r="F39" s="16" t="s">
        <v>1536</v>
      </c>
      <c r="G39" s="16" t="s">
        <v>1537</v>
      </c>
      <c r="H39" s="16" t="s">
        <v>922</v>
      </c>
      <c r="I39" s="10" t="s">
        <v>1545</v>
      </c>
      <c r="J39" s="16" t="s">
        <v>1539</v>
      </c>
      <c r="K39" s="16" t="s">
        <v>1540</v>
      </c>
      <c r="L39" s="16"/>
      <c r="M39" s="16" t="s">
        <v>1541</v>
      </c>
      <c r="N39" s="4"/>
      <c r="O39" s="4"/>
      <c r="P39" s="4"/>
    </row>
    <row r="40" spans="1:16">
      <c r="A40" s="4"/>
      <c r="B40" s="4"/>
      <c r="C40" s="4"/>
      <c r="D40" s="16" t="s">
        <v>1546</v>
      </c>
      <c r="E40" s="16" t="s">
        <v>478</v>
      </c>
      <c r="F40" s="16" t="s">
        <v>893</v>
      </c>
      <c r="G40" s="16" t="s">
        <v>1537</v>
      </c>
      <c r="H40" s="16" t="s">
        <v>922</v>
      </c>
      <c r="I40" s="10" t="s">
        <v>1547</v>
      </c>
      <c r="J40" s="16" t="s">
        <v>1548</v>
      </c>
      <c r="K40" s="16" t="s">
        <v>1549</v>
      </c>
      <c r="L40" s="16"/>
      <c r="M40" s="16" t="s">
        <v>1541</v>
      </c>
      <c r="N40" s="4"/>
      <c r="O40" s="4"/>
      <c r="P40" s="4"/>
    </row>
    <row r="41" spans="1:16">
      <c r="A41" s="4"/>
      <c r="B41" s="4"/>
      <c r="C41" s="4"/>
      <c r="D41" s="16" t="s">
        <v>1550</v>
      </c>
      <c r="E41" s="16" t="s">
        <v>479</v>
      </c>
      <c r="F41" s="16" t="s">
        <v>1536</v>
      </c>
      <c r="G41" s="16" t="s">
        <v>1537</v>
      </c>
      <c r="H41" s="16" t="s">
        <v>922</v>
      </c>
      <c r="I41" s="10" t="s">
        <v>1551</v>
      </c>
      <c r="J41" s="16" t="s">
        <v>1548</v>
      </c>
      <c r="K41" s="16" t="s">
        <v>1549</v>
      </c>
      <c r="L41" s="16" t="s">
        <v>1552</v>
      </c>
      <c r="M41" s="16" t="s">
        <v>1541</v>
      </c>
      <c r="N41" s="4"/>
      <c r="O41" s="4"/>
      <c r="P41" s="4"/>
    </row>
    <row r="42" spans="1:16">
      <c r="A42" s="4"/>
      <c r="B42" s="4"/>
      <c r="C42" s="4"/>
      <c r="D42" s="4"/>
      <c r="E42" s="4"/>
      <c r="F42" s="4"/>
      <c r="G42" s="4"/>
      <c r="H42" s="4"/>
      <c r="I42" s="4"/>
      <c r="J42" s="4"/>
      <c r="K42" s="4"/>
      <c r="L42" s="4"/>
      <c r="M42" s="4"/>
      <c r="N42" s="4"/>
      <c r="O42" s="4"/>
      <c r="P42" s="4"/>
    </row>
    <row r="43" spans="1:16" ht="18.600000000000001">
      <c r="A43" s="102"/>
      <c r="B43" s="102"/>
      <c r="C43" s="102" t="s">
        <v>78</v>
      </c>
      <c r="D43" s="102"/>
      <c r="E43" s="4"/>
      <c r="F43" s="4"/>
      <c r="G43" s="4"/>
      <c r="H43" s="4"/>
      <c r="I43" s="4"/>
      <c r="J43" s="4"/>
      <c r="K43" s="4"/>
      <c r="L43" s="4"/>
      <c r="M43" s="4"/>
      <c r="N43" s="4"/>
      <c r="O43" s="4"/>
      <c r="P43" s="4"/>
    </row>
    <row r="44" spans="1:16" outlineLevel="1">
      <c r="A44" s="4"/>
      <c r="B44" s="4"/>
      <c r="C44" s="4"/>
      <c r="D44" s="4"/>
      <c r="E44" s="4"/>
      <c r="F44" s="4"/>
      <c r="G44" s="4"/>
      <c r="H44" s="4"/>
      <c r="I44" s="4"/>
      <c r="J44" s="4"/>
      <c r="K44" s="4"/>
      <c r="L44" s="4"/>
      <c r="M44" s="4"/>
      <c r="N44" s="4"/>
      <c r="O44" s="4"/>
      <c r="P44" s="4"/>
    </row>
    <row r="45" spans="1:16" ht="16.5" outlineLevel="1">
      <c r="A45" s="201"/>
      <c r="B45" s="201"/>
      <c r="C45" s="1" t="s">
        <v>591</v>
      </c>
      <c r="D45" s="7"/>
      <c r="E45" s="7"/>
      <c r="F45" s="7"/>
      <c r="G45" s="7"/>
      <c r="H45" s="7"/>
      <c r="I45" s="7"/>
      <c r="J45" s="7"/>
      <c r="K45" s="7"/>
      <c r="L45" s="7"/>
      <c r="M45" s="7"/>
      <c r="N45" s="7"/>
      <c r="O45" s="7"/>
      <c r="P45" s="4"/>
    </row>
    <row r="46" spans="1:16" s="4" customFormat="1"/>
  </sheetData>
  <mergeCells count="2">
    <mergeCell ref="C2:O2"/>
    <mergeCell ref="C3:O3"/>
  </mergeCells>
  <phoneticPr fontId="1" type="noConversion"/>
  <hyperlinks>
    <hyperlink ref="I37" r:id="rId1" xr:uid="{3239DA29-495E-4CB4-9169-7401A2DBC0E1}"/>
    <hyperlink ref="I38" r:id="rId2" xr:uid="{7A367297-2A3F-4DC1-8AC2-F56F64070D7C}"/>
    <hyperlink ref="I39" r:id="rId3" xr:uid="{279D97C5-2B68-4F61-9566-1EB5274D811C}"/>
    <hyperlink ref="I40" r:id="rId4" xr:uid="{4CB743C5-B021-4804-8701-D4F3B3931FBF}"/>
    <hyperlink ref="I41" r:id="rId5" xr:uid="{6C78D00D-D0E5-4E45-A58F-6700A750A105}"/>
    <hyperlink ref="E21" r:id="rId6" display="https://learn.microsoft.com/en-us/azure/architecture/web-apps/app-service/architectures/multi-region" xr:uid="{7B881CE7-F7BD-441D-A83C-A04808ADB0A0}"/>
    <hyperlink ref="C45" r:id="rId7" display="https://learn.microsoft.com/en-us/azure/cloud-adoption-framework/organize/raci-alignment" xr:uid="{72726E10-A4EB-4069-AA56-3E3D90668E42}"/>
  </hyperlinks>
  <pageMargins left="0.7" right="0.7" top="0.75" bottom="0.75" header="0.3" footer="0.3"/>
  <pageSetup orientation="portrait" r:id="rId8"/>
  <drawing r:id="rId9"/>
  <tableParts count="1">
    <tablePart r:id="rId10"/>
  </tableParts>
  <extLst>
    <ext xmlns:x14="http://schemas.microsoft.com/office/spreadsheetml/2009/9/main" uri="{78C0D931-6437-407d-A8EE-F0AAD7539E65}">
      <x14:conditionalFormattings>
        <x14:conditionalFormatting xmlns:xm="http://schemas.microsoft.com/office/excel/2006/main">
          <x14:cfRule type="cellIs" priority="1" operator="equal" id="{F87FC1F4-734E-4347-A18A-8EE307F52E5E}">
            <xm:f>Data!$L$13</xm:f>
            <x14:dxf>
              <font>
                <color theme="0"/>
              </font>
              <fill>
                <patternFill>
                  <bgColor rgb="FFF25022"/>
                </patternFill>
              </fill>
            </x14:dxf>
          </x14:cfRule>
          <x14:cfRule type="cellIs" priority="2" operator="equal" id="{B20FBEF7-E0DF-4EA9-81D7-13780144E321}">
            <xm:f>Data!$L$12</xm:f>
            <x14:dxf>
              <font>
                <color theme="0"/>
              </font>
              <fill>
                <patternFill>
                  <bgColor rgb="FFF25022"/>
                </patternFill>
              </fill>
            </x14:dxf>
          </x14:cfRule>
          <x14:cfRule type="cellIs" priority="3" operator="equal" id="{F972AAFB-8A72-49A3-90EE-75A9EBAB408F}">
            <xm:f>Data!$L$11</xm:f>
            <x14:dxf>
              <font>
                <color theme="0"/>
              </font>
              <fill>
                <patternFill>
                  <bgColor rgb="FFF25022"/>
                </patternFill>
              </fill>
            </x14:dxf>
          </x14:cfRule>
          <x14:cfRule type="cellIs" priority="4" operator="equal" id="{9EDD2806-920A-43E7-AE36-183F5F0DE83F}">
            <xm:f>Data!$L$10</xm:f>
            <x14:dxf>
              <font>
                <color theme="0"/>
              </font>
              <fill>
                <patternFill>
                  <bgColor rgb="FFF25022"/>
                </patternFill>
              </fill>
            </x14:dxf>
          </x14:cfRule>
          <x14:cfRule type="cellIs" priority="5" operator="equal" id="{1B2B02D5-9F98-49EB-A4F6-58F316631F89}">
            <xm:f>Data!$L$6</xm:f>
            <x14:dxf>
              <font>
                <color theme="0"/>
              </font>
              <fill>
                <patternFill>
                  <bgColor rgb="FFF25022"/>
                </patternFill>
              </fill>
            </x14:dxf>
          </x14:cfRule>
          <x14:cfRule type="cellIs" priority="6" operator="equal" id="{72B9135B-E572-4035-B8E7-E3B576BC7C5A}">
            <xm:f>Data!$L$9</xm:f>
            <x14:dxf>
              <font>
                <color theme="1"/>
              </font>
              <fill>
                <patternFill>
                  <bgColor rgb="FF7FBA00"/>
                </patternFill>
              </fill>
            </x14:dxf>
          </x14:cfRule>
          <x14:cfRule type="cellIs" priority="7" operator="equal" id="{E72B2A90-D869-4199-A72C-C17969C40D70}">
            <xm:f>Data!$L$8</xm:f>
            <x14:dxf>
              <font>
                <color theme="1"/>
              </font>
              <fill>
                <patternFill>
                  <bgColor rgb="FF00A4EF"/>
                </patternFill>
              </fill>
            </x14:dxf>
          </x14:cfRule>
          <x14:cfRule type="cellIs" priority="8" operator="equal" id="{EF1AAB9E-03A5-4537-B3A6-7A1BFFF954F5}">
            <xm:f>Data!$L$7</xm:f>
            <x14:dxf>
              <font>
                <color theme="1"/>
              </font>
              <fill>
                <patternFill>
                  <bgColor rgb="FFFFB900"/>
                </patternFill>
              </fill>
            </x14:dxf>
          </x14:cfRule>
          <x14:cfRule type="cellIs" priority="9" operator="equal" id="{550327AB-4990-4039-B3D0-6AFE268C8DC1}">
            <xm:f>Data!$L$5</xm:f>
            <x14:dxf>
              <font>
                <color theme="0"/>
              </font>
              <fill>
                <patternFill>
                  <bgColor rgb="FFF25022"/>
                </patternFill>
              </fill>
            </x14:dxf>
          </x14:cfRule>
          <x14:cfRule type="cellIs" priority="10" operator="equal" id="{F83E4C18-8085-4CB2-83A6-D265CC335C3B}">
            <xm:f>Data!$L$6+Data!$L$14</xm:f>
            <x14:dxf>
              <font>
                <color theme="0"/>
              </font>
              <fill>
                <patternFill>
                  <bgColor rgb="FF747474"/>
                </patternFill>
              </fill>
            </x14:dxf>
          </x14:cfRule>
          <xm:sqref>E14:E15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548907B7-F3CF-4DA9-9D6F-0102631A853F}">
          <x14:formula1>
            <xm:f>Data!$C$36:$C$47</xm:f>
          </x14:formula1>
          <xm:sqref>E37:E41</xm:sqref>
        </x14:dataValidation>
      </x14:dataValidations>
    </ext>
    <ext xmlns:x15="http://schemas.microsoft.com/office/spreadsheetml/2010/11/main" uri="{3A4CF648-6AED-40f4-86FF-DC5316D8AED3}">
      <x14:slicerList xmlns:x14="http://schemas.microsoft.com/office/spreadsheetml/2009/9/main">
        <x14:slicer r:id="rId11"/>
      </x14:slicerList>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8B6D28-FF2C-4C96-8B29-B61FF180E604}">
  <sheetPr>
    <tabColor rgb="FF00A4EF"/>
  </sheetPr>
  <dimension ref="A1:AF70"/>
  <sheetViews>
    <sheetView showGridLines="0" showRowColHeaders="0" zoomScale="85" zoomScaleNormal="85" workbookViewId="0">
      <selection activeCell="A6" sqref="A6"/>
    </sheetView>
  </sheetViews>
  <sheetFormatPr defaultColWidth="0" defaultRowHeight="14.45" zeroHeight="1" outlineLevelRow="1"/>
  <cols>
    <col min="1" max="2" width="5.85546875" customWidth="1"/>
    <col min="3" max="3" width="3.85546875" customWidth="1"/>
    <col min="4" max="4" width="24.5703125" customWidth="1"/>
    <col min="5" max="5" width="57.42578125" customWidth="1"/>
    <col min="6" max="6" width="51.85546875" customWidth="1"/>
    <col min="7" max="7" width="13.140625" bestFit="1" customWidth="1"/>
    <col min="8" max="8" width="12.5703125" bestFit="1" customWidth="1"/>
    <col min="9" max="9" width="23.42578125" bestFit="1" customWidth="1"/>
    <col min="10" max="10" width="24.42578125" bestFit="1" customWidth="1"/>
    <col min="11" max="11" width="23.42578125" bestFit="1" customWidth="1"/>
    <col min="12" max="12" width="24.85546875" bestFit="1" customWidth="1"/>
    <col min="13" max="13" width="23.140625" bestFit="1" customWidth="1"/>
    <col min="14" max="14" width="25.42578125" bestFit="1" customWidth="1"/>
    <col min="15" max="15" width="25" bestFit="1" customWidth="1"/>
    <col min="16" max="16" width="23.140625" customWidth="1"/>
    <col min="17" max="17" width="12.85546875" bestFit="1" customWidth="1"/>
    <col min="18" max="18" width="24.140625" bestFit="1" customWidth="1"/>
    <col min="19" max="19" width="16.140625" customWidth="1"/>
    <col min="20" max="20" width="15.42578125" bestFit="1" customWidth="1"/>
    <col min="21" max="21" width="18.140625" bestFit="1" customWidth="1"/>
    <col min="22" max="22" width="15.5703125" bestFit="1" customWidth="1"/>
    <col min="23" max="23" width="17.5703125" bestFit="1" customWidth="1"/>
    <col min="24" max="24" width="17.5703125" customWidth="1"/>
    <col min="25" max="25" width="18.140625" bestFit="1" customWidth="1"/>
    <col min="26" max="26" width="11.42578125" bestFit="1" customWidth="1"/>
    <col min="27" max="27" width="16.5703125" bestFit="1" customWidth="1"/>
    <col min="28" max="29" width="3.85546875" customWidth="1"/>
    <col min="30" max="32" width="0" hidden="1" customWidth="1"/>
    <col min="33" max="16384" width="8.85546875" hidden="1"/>
  </cols>
  <sheetData>
    <row r="1" spans="1:29">
      <c r="A1" s="4"/>
      <c r="B1" s="4"/>
      <c r="C1" s="4"/>
      <c r="D1" s="4"/>
      <c r="E1" s="4"/>
      <c r="F1" s="4"/>
      <c r="G1" s="4"/>
      <c r="H1" s="4"/>
      <c r="I1" s="4"/>
      <c r="J1" s="4"/>
      <c r="K1" s="4"/>
      <c r="L1" s="4"/>
      <c r="M1" s="4"/>
      <c r="N1" s="4"/>
      <c r="O1" s="4"/>
      <c r="P1" s="4"/>
      <c r="Q1" s="4"/>
      <c r="R1" s="4"/>
      <c r="S1" s="4"/>
      <c r="T1" s="4"/>
      <c r="U1" s="4"/>
      <c r="V1" s="4"/>
      <c r="W1" s="4"/>
      <c r="X1" s="4"/>
      <c r="Y1" s="4"/>
      <c r="Z1" s="4"/>
      <c r="AA1" s="4"/>
      <c r="AB1" s="4"/>
      <c r="AC1" s="4"/>
    </row>
    <row r="2" spans="1:29" ht="21">
      <c r="A2" s="4"/>
      <c r="B2" s="4"/>
      <c r="C2" s="618" t="s">
        <v>1553</v>
      </c>
      <c r="D2" s="618"/>
      <c r="E2" s="618"/>
      <c r="F2" s="618"/>
      <c r="G2" s="618"/>
      <c r="H2" s="618"/>
      <c r="I2" s="618"/>
      <c r="J2" s="618"/>
      <c r="K2" s="618"/>
      <c r="L2" s="618"/>
      <c r="M2" s="618"/>
      <c r="N2" s="618"/>
      <c r="O2" s="618"/>
      <c r="P2" s="618"/>
      <c r="Q2" s="618"/>
      <c r="R2" s="618"/>
      <c r="S2" s="618"/>
      <c r="T2" s="618"/>
      <c r="U2" s="618"/>
      <c r="V2" s="618"/>
      <c r="W2" s="618"/>
      <c r="X2" s="618"/>
      <c r="Y2" s="618"/>
      <c r="Z2" s="618"/>
      <c r="AA2" s="618"/>
      <c r="AB2" s="618"/>
      <c r="AC2" s="4"/>
    </row>
    <row r="3" spans="1:29">
      <c r="A3" s="4"/>
      <c r="B3" s="4"/>
      <c r="C3" s="646" t="s">
        <v>1554</v>
      </c>
      <c r="D3" s="646"/>
      <c r="E3" s="646"/>
      <c r="F3" s="646"/>
      <c r="G3" s="646"/>
      <c r="H3" s="646"/>
      <c r="I3" s="646"/>
      <c r="J3" s="646"/>
      <c r="K3" s="646"/>
      <c r="L3" s="646"/>
      <c r="M3" s="646"/>
      <c r="N3" s="646"/>
      <c r="O3" s="646"/>
      <c r="P3" s="646"/>
      <c r="Q3" s="646"/>
      <c r="R3" s="646"/>
      <c r="S3" s="646"/>
      <c r="T3" s="646"/>
      <c r="U3" s="646"/>
      <c r="V3" s="646"/>
      <c r="W3" s="646"/>
      <c r="X3" s="646"/>
      <c r="Y3" s="646"/>
      <c r="Z3" s="646"/>
      <c r="AA3" s="646"/>
      <c r="AB3" s="646"/>
      <c r="AC3" s="4"/>
    </row>
    <row r="4" spans="1:29">
      <c r="A4" s="4"/>
      <c r="B4" s="4"/>
      <c r="C4" s="4"/>
      <c r="D4" s="4"/>
      <c r="E4" s="4"/>
      <c r="F4" s="4"/>
      <c r="G4" s="4"/>
      <c r="H4" s="4"/>
      <c r="I4" s="4"/>
      <c r="J4" s="4"/>
      <c r="K4" s="4"/>
      <c r="L4" s="4"/>
      <c r="M4" s="4"/>
      <c r="N4" s="4"/>
      <c r="O4" s="4"/>
      <c r="P4" s="4"/>
      <c r="Q4" s="4"/>
      <c r="R4" s="4"/>
      <c r="S4" s="4"/>
      <c r="T4" s="4"/>
      <c r="U4" s="4"/>
      <c r="V4" s="4"/>
      <c r="W4" s="4"/>
      <c r="X4" s="4"/>
      <c r="Y4" s="4"/>
      <c r="Z4" s="4"/>
      <c r="AA4" s="4"/>
      <c r="AB4" s="4"/>
      <c r="AC4" s="4"/>
    </row>
    <row r="5" spans="1:29" ht="14.45" customHeight="1">
      <c r="A5" s="4"/>
      <c r="B5" s="4"/>
      <c r="C5" s="198"/>
      <c r="D5" s="7"/>
      <c r="E5" s="106"/>
      <c r="F5" s="106"/>
      <c r="G5" s="106"/>
      <c r="H5" s="106"/>
      <c r="I5" s="106"/>
      <c r="J5" s="106"/>
      <c r="K5" s="106"/>
      <c r="L5" s="106"/>
      <c r="M5" s="106"/>
      <c r="N5" s="106"/>
      <c r="O5" s="106"/>
      <c r="P5" s="106"/>
      <c r="Q5" s="106"/>
      <c r="R5" s="7"/>
      <c r="S5" s="7"/>
      <c r="T5" s="7"/>
      <c r="U5" s="7"/>
      <c r="V5" s="7"/>
      <c r="W5" s="7"/>
      <c r="X5" s="7"/>
      <c r="Y5" s="7"/>
      <c r="Z5" s="7"/>
      <c r="AA5" s="7"/>
      <c r="AB5" s="7"/>
      <c r="AC5" s="4"/>
    </row>
    <row r="6" spans="1:29" ht="14.45" customHeight="1">
      <c r="A6" s="4"/>
      <c r="B6" s="4"/>
      <c r="C6" s="198"/>
      <c r="D6" s="107" t="s">
        <v>890</v>
      </c>
      <c r="E6" s="244" t="s">
        <v>891</v>
      </c>
      <c r="F6" s="106"/>
      <c r="G6" s="106"/>
      <c r="H6" s="106"/>
      <c r="I6" s="106"/>
      <c r="J6" s="106"/>
      <c r="K6" s="106"/>
      <c r="L6" s="106"/>
      <c r="M6" s="106"/>
      <c r="N6" s="106"/>
      <c r="O6" s="106"/>
      <c r="P6" s="106"/>
      <c r="Q6" s="106"/>
      <c r="R6" s="7"/>
      <c r="S6" s="7"/>
      <c r="T6" s="7"/>
      <c r="U6" s="7"/>
      <c r="V6" s="7"/>
      <c r="W6" s="7"/>
      <c r="X6" s="7"/>
      <c r="Y6" s="7"/>
      <c r="Z6" s="7"/>
      <c r="AA6" s="7"/>
      <c r="AB6" s="7"/>
      <c r="AC6" s="4"/>
    </row>
    <row r="7" spans="1:29" ht="14.45" customHeight="1">
      <c r="A7" s="4"/>
      <c r="B7" s="4"/>
      <c r="C7" s="198"/>
      <c r="D7" s="107" t="s">
        <v>892</v>
      </c>
      <c r="E7" s="244" t="s">
        <v>893</v>
      </c>
      <c r="F7" s="106"/>
      <c r="G7" s="106"/>
      <c r="H7" s="106"/>
      <c r="I7" s="106"/>
      <c r="J7" s="106"/>
      <c r="K7" s="106"/>
      <c r="L7" s="106"/>
      <c r="M7" s="106"/>
      <c r="N7" s="106"/>
      <c r="O7" s="106"/>
      <c r="P7" s="106"/>
      <c r="Q7" s="106"/>
      <c r="R7" s="7"/>
      <c r="S7" s="7"/>
      <c r="T7" s="7"/>
      <c r="U7" s="7"/>
      <c r="V7" s="7"/>
      <c r="W7" s="7"/>
      <c r="X7" s="7"/>
      <c r="Y7" s="7"/>
      <c r="Z7" s="7"/>
      <c r="AA7" s="7"/>
      <c r="AB7" s="7"/>
      <c r="AC7" s="4"/>
    </row>
    <row r="8" spans="1:29" ht="14.45" customHeight="1">
      <c r="A8" s="4"/>
      <c r="B8" s="4"/>
      <c r="C8" s="198"/>
      <c r="D8" s="107" t="s">
        <v>117</v>
      </c>
      <c r="E8" s="244" t="s">
        <v>894</v>
      </c>
      <c r="F8" s="106"/>
      <c r="G8" s="106"/>
      <c r="H8" s="106"/>
      <c r="I8" s="106"/>
      <c r="J8" s="106"/>
      <c r="K8" s="106"/>
      <c r="L8" s="106"/>
      <c r="M8" s="106"/>
      <c r="N8" s="106"/>
      <c r="O8" s="106"/>
      <c r="P8" s="106"/>
      <c r="Q8" s="106"/>
      <c r="R8" s="7"/>
      <c r="S8" s="7"/>
      <c r="T8" s="7"/>
      <c r="U8" s="7"/>
      <c r="V8" s="7"/>
      <c r="W8" s="7"/>
      <c r="X8" s="7"/>
      <c r="Y8" s="7"/>
      <c r="Z8" s="7"/>
      <c r="AA8" s="7"/>
      <c r="AB8" s="7"/>
      <c r="AC8" s="4"/>
    </row>
    <row r="9" spans="1:29" ht="14.45" customHeight="1">
      <c r="A9" s="4"/>
      <c r="B9" s="4"/>
      <c r="C9" s="198"/>
      <c r="D9" s="107" t="s">
        <v>138</v>
      </c>
      <c r="E9" s="244"/>
      <c r="F9" s="106"/>
      <c r="G9" s="106"/>
      <c r="H9" s="106"/>
      <c r="I9" s="106"/>
      <c r="J9" s="106"/>
      <c r="K9" s="106"/>
      <c r="L9" s="106"/>
      <c r="M9" s="106"/>
      <c r="N9" s="106"/>
      <c r="O9" s="106"/>
      <c r="P9" s="106"/>
      <c r="Q9" s="106"/>
      <c r="R9" s="7"/>
      <c r="S9" s="7"/>
      <c r="T9" s="7"/>
      <c r="U9" s="7"/>
      <c r="V9" s="7"/>
      <c r="W9" s="7"/>
      <c r="X9" s="7"/>
      <c r="Y9" s="7"/>
      <c r="Z9" s="7"/>
      <c r="AA9" s="7"/>
      <c r="AB9" s="7"/>
      <c r="AC9" s="4"/>
    </row>
    <row r="10" spans="1:29" ht="14.45" customHeight="1">
      <c r="A10" s="4"/>
      <c r="B10" s="4"/>
      <c r="C10" s="198"/>
      <c r="D10" s="107" t="s">
        <v>822</v>
      </c>
      <c r="E10" s="244"/>
      <c r="F10" s="106"/>
      <c r="G10" s="106"/>
      <c r="H10" s="106"/>
      <c r="I10" s="106"/>
      <c r="J10" s="106"/>
      <c r="K10" s="106"/>
      <c r="L10" s="106"/>
      <c r="M10" s="106"/>
      <c r="N10" s="106"/>
      <c r="O10" s="106"/>
      <c r="P10" s="106"/>
      <c r="Q10" s="106"/>
      <c r="R10" s="7"/>
      <c r="S10" s="7"/>
      <c r="T10" s="7"/>
      <c r="U10" s="7"/>
      <c r="V10" s="7"/>
      <c r="W10" s="7"/>
      <c r="X10" s="7"/>
      <c r="Y10" s="7"/>
      <c r="Z10" s="7"/>
      <c r="AA10" s="7"/>
      <c r="AB10" s="7"/>
      <c r="AC10" s="4"/>
    </row>
    <row r="11" spans="1:29" ht="14.45" customHeight="1">
      <c r="A11" s="4"/>
      <c r="B11" s="4"/>
      <c r="C11" s="198"/>
      <c r="D11" s="107" t="s">
        <v>895</v>
      </c>
      <c r="E11" s="244"/>
      <c r="F11" s="106"/>
      <c r="G11" s="106"/>
      <c r="H11" s="106"/>
      <c r="I11" s="106"/>
      <c r="J11" s="106"/>
      <c r="K11" s="106"/>
      <c r="L11" s="106"/>
      <c r="M11" s="106"/>
      <c r="N11" s="106"/>
      <c r="O11" s="106"/>
      <c r="P11" s="106"/>
      <c r="Q11" s="106"/>
      <c r="R11" s="7"/>
      <c r="S11" s="7"/>
      <c r="T11" s="7"/>
      <c r="U11" s="7"/>
      <c r="V11" s="7"/>
      <c r="W11" s="7"/>
      <c r="X11" s="7"/>
      <c r="Y11" s="7"/>
      <c r="Z11" s="7"/>
      <c r="AA11" s="7"/>
      <c r="AB11" s="7"/>
      <c r="AC11" s="4"/>
    </row>
    <row r="12" spans="1:29" ht="14.45" customHeight="1">
      <c r="A12" s="4"/>
      <c r="B12" s="4"/>
      <c r="C12" s="198"/>
      <c r="D12" s="107" t="s">
        <v>896</v>
      </c>
      <c r="E12" s="244"/>
      <c r="F12" s="106"/>
      <c r="G12" s="106"/>
      <c r="H12" s="106"/>
      <c r="I12" s="106"/>
      <c r="J12" s="106"/>
      <c r="K12" s="106"/>
      <c r="L12" s="106"/>
      <c r="M12" s="106"/>
      <c r="N12" s="106"/>
      <c r="O12" s="106"/>
      <c r="P12" s="106"/>
      <c r="Q12" s="106"/>
      <c r="R12" s="7"/>
      <c r="S12" s="7"/>
      <c r="T12" s="7"/>
      <c r="U12" s="7"/>
      <c r="V12" s="7"/>
      <c r="W12" s="7"/>
      <c r="X12" s="7"/>
      <c r="Y12" s="7"/>
      <c r="Z12" s="7"/>
      <c r="AA12" s="7"/>
      <c r="AB12" s="7"/>
      <c r="AC12" s="4"/>
    </row>
    <row r="13" spans="1:29" ht="14.45" customHeight="1">
      <c r="A13" s="4"/>
      <c r="B13" s="4"/>
      <c r="C13" s="198"/>
      <c r="D13" s="107" t="s">
        <v>477</v>
      </c>
      <c r="E13" s="244"/>
      <c r="F13" s="106"/>
      <c r="G13" s="106"/>
      <c r="H13" s="106"/>
      <c r="I13" s="106"/>
      <c r="J13" s="106"/>
      <c r="K13" s="106"/>
      <c r="L13" s="106"/>
      <c r="M13" s="106"/>
      <c r="N13" s="106"/>
      <c r="O13" s="106"/>
      <c r="P13" s="106"/>
      <c r="Q13" s="106"/>
      <c r="R13" s="7"/>
      <c r="S13" s="7"/>
      <c r="T13" s="7"/>
      <c r="U13" s="7"/>
      <c r="V13" s="7"/>
      <c r="W13" s="7"/>
      <c r="X13" s="7"/>
      <c r="Y13" s="7"/>
      <c r="Z13" s="7"/>
      <c r="AA13" s="7"/>
      <c r="AB13" s="7"/>
      <c r="AC13" s="4"/>
    </row>
    <row r="14" spans="1:29" ht="14.45" customHeight="1">
      <c r="A14" s="4"/>
      <c r="B14" s="4"/>
      <c r="C14" s="198"/>
      <c r="D14" s="107" t="s">
        <v>478</v>
      </c>
      <c r="E14" s="244"/>
      <c r="F14" s="106"/>
      <c r="G14" s="106"/>
      <c r="H14" s="106"/>
      <c r="I14" s="106"/>
      <c r="J14" s="106"/>
      <c r="K14" s="106"/>
      <c r="L14" s="106"/>
      <c r="M14" s="106"/>
      <c r="N14" s="106"/>
      <c r="O14" s="106"/>
      <c r="P14" s="106"/>
      <c r="Q14" s="106"/>
      <c r="R14" s="7"/>
      <c r="S14" s="7"/>
      <c r="T14" s="7"/>
      <c r="U14" s="7"/>
      <c r="V14" s="7"/>
      <c r="W14" s="7"/>
      <c r="X14" s="7"/>
      <c r="Y14" s="7"/>
      <c r="Z14" s="7"/>
      <c r="AA14" s="7"/>
      <c r="AB14" s="7"/>
      <c r="AC14" s="4"/>
    </row>
    <row r="15" spans="1:29" ht="14.45" customHeight="1">
      <c r="A15" s="4"/>
      <c r="B15" s="4"/>
      <c r="C15" s="198"/>
      <c r="D15" s="107" t="s">
        <v>897</v>
      </c>
      <c r="E15" s="244" t="s">
        <v>317</v>
      </c>
      <c r="F15" s="106"/>
      <c r="G15" s="106"/>
      <c r="H15" s="106"/>
      <c r="I15" s="106"/>
      <c r="J15" s="106"/>
      <c r="K15" s="106"/>
      <c r="L15" s="106"/>
      <c r="M15" s="106"/>
      <c r="N15" s="106"/>
      <c r="O15" s="106"/>
      <c r="P15" s="106"/>
      <c r="Q15" s="106"/>
      <c r="R15" s="7"/>
      <c r="S15" s="7"/>
      <c r="T15" s="7"/>
      <c r="U15" s="7"/>
      <c r="V15" s="7"/>
      <c r="W15" s="7"/>
      <c r="X15" s="7"/>
      <c r="Y15" s="7"/>
      <c r="Z15" s="7"/>
      <c r="AA15" s="7"/>
      <c r="AB15" s="7"/>
      <c r="AC15" s="4"/>
    </row>
    <row r="16" spans="1:29" ht="14.45" customHeight="1">
      <c r="A16" s="4"/>
      <c r="B16" s="4"/>
      <c r="C16" s="198"/>
      <c r="D16" s="107" t="s">
        <v>267</v>
      </c>
      <c r="E16" s="245" t="s">
        <v>328</v>
      </c>
      <c r="F16" s="106"/>
      <c r="G16" s="106"/>
      <c r="H16" s="106"/>
      <c r="I16" s="106"/>
      <c r="J16" s="106"/>
      <c r="K16" s="106"/>
      <c r="L16" s="106"/>
      <c r="M16" s="106"/>
      <c r="N16" s="106"/>
      <c r="O16" s="106"/>
      <c r="P16" s="106"/>
      <c r="Q16" s="106"/>
      <c r="R16" s="7"/>
      <c r="S16" s="7"/>
      <c r="T16" s="7"/>
      <c r="U16" s="7"/>
      <c r="V16" s="7"/>
      <c r="W16" s="7"/>
      <c r="X16" s="7"/>
      <c r="Y16" s="7"/>
      <c r="Z16" s="7"/>
      <c r="AA16" s="7"/>
      <c r="AB16" s="7"/>
      <c r="AC16" s="4"/>
    </row>
    <row r="17" spans="1:29" ht="14.45" customHeight="1">
      <c r="A17" s="4"/>
      <c r="B17" s="4"/>
      <c r="C17" s="198"/>
      <c r="D17" s="107" t="s">
        <v>898</v>
      </c>
      <c r="E17" s="372" t="s">
        <v>899</v>
      </c>
      <c r="F17" s="106"/>
      <c r="G17" s="106"/>
      <c r="H17" s="106"/>
      <c r="I17" s="106"/>
      <c r="J17" s="106"/>
      <c r="K17" s="106"/>
      <c r="L17" s="106"/>
      <c r="M17" s="106"/>
      <c r="N17" s="106"/>
      <c r="O17" s="106"/>
      <c r="P17" s="106"/>
      <c r="Q17" s="106"/>
      <c r="R17" s="7"/>
      <c r="S17" s="7"/>
      <c r="T17" s="7"/>
      <c r="U17" s="7"/>
      <c r="V17" s="7"/>
      <c r="W17" s="7"/>
      <c r="X17" s="7"/>
      <c r="Y17" s="7"/>
      <c r="Z17" s="7"/>
      <c r="AA17" s="7"/>
      <c r="AB17" s="7"/>
      <c r="AC17" s="4"/>
    </row>
    <row r="18" spans="1:29" ht="14.45" customHeight="1">
      <c r="A18" s="4"/>
      <c r="B18" s="4"/>
      <c r="C18" s="198"/>
      <c r="D18" s="107" t="s">
        <v>900</v>
      </c>
      <c r="E18" s="246">
        <v>45020</v>
      </c>
      <c r="F18" s="106"/>
      <c r="G18" s="106"/>
      <c r="H18" s="106"/>
      <c r="I18" s="106"/>
      <c r="J18" s="106"/>
      <c r="K18" s="106"/>
      <c r="L18" s="106"/>
      <c r="M18" s="106"/>
      <c r="N18" s="106"/>
      <c r="O18" s="106"/>
      <c r="P18" s="106"/>
      <c r="Q18" s="106"/>
      <c r="R18" s="7"/>
      <c r="S18" s="7"/>
      <c r="T18" s="7"/>
      <c r="U18" s="7"/>
      <c r="V18" s="7"/>
      <c r="W18" s="7"/>
      <c r="X18" s="7"/>
      <c r="Y18" s="7"/>
      <c r="Z18" s="7"/>
      <c r="AA18" s="7"/>
      <c r="AB18" s="7"/>
      <c r="AC18" s="4"/>
    </row>
    <row r="19" spans="1:29" ht="14.45" customHeight="1">
      <c r="A19" s="4"/>
      <c r="B19" s="4"/>
      <c r="C19" s="198"/>
      <c r="D19" s="107" t="s">
        <v>901</v>
      </c>
      <c r="E19" s="246">
        <v>45386</v>
      </c>
      <c r="F19" s="7"/>
      <c r="G19" s="7"/>
      <c r="H19" s="7"/>
      <c r="I19" s="7"/>
      <c r="J19" s="7"/>
      <c r="K19" s="7"/>
      <c r="L19" s="7"/>
      <c r="M19" s="7"/>
      <c r="N19" s="7"/>
      <c r="O19" s="7"/>
      <c r="P19" s="7"/>
      <c r="Q19" s="7"/>
      <c r="R19" s="7"/>
      <c r="S19" s="7"/>
      <c r="T19" s="7"/>
      <c r="U19" s="7"/>
      <c r="V19" s="7"/>
      <c r="W19" s="7"/>
      <c r="X19" s="7"/>
      <c r="Y19" s="7"/>
      <c r="Z19" s="7"/>
      <c r="AA19" s="7"/>
      <c r="AB19" s="7"/>
      <c r="AC19" s="4"/>
    </row>
    <row r="20" spans="1:29" ht="14.45" customHeight="1">
      <c r="A20" s="4"/>
      <c r="B20" s="4"/>
      <c r="C20" s="198"/>
      <c r="D20" s="107" t="s">
        <v>902</v>
      </c>
      <c r="E20" s="247">
        <v>43160</v>
      </c>
      <c r="F20" s="7"/>
      <c r="G20" s="7"/>
      <c r="H20" s="7"/>
      <c r="I20" s="7"/>
      <c r="J20" s="7"/>
      <c r="K20" s="7"/>
      <c r="L20" s="7"/>
      <c r="M20" s="7"/>
      <c r="N20" s="7"/>
      <c r="O20" s="7"/>
      <c r="P20" s="7"/>
      <c r="Q20" s="7"/>
      <c r="R20" s="7"/>
      <c r="S20" s="7"/>
      <c r="T20" s="7"/>
      <c r="U20" s="7"/>
      <c r="V20" s="7"/>
      <c r="W20" s="7"/>
      <c r="X20" s="7"/>
      <c r="Y20" s="7"/>
      <c r="Z20" s="7"/>
      <c r="AA20" s="7"/>
      <c r="AB20" s="7"/>
      <c r="AC20" s="4"/>
    </row>
    <row r="21" spans="1:29" ht="14.45" customHeight="1">
      <c r="A21" s="4"/>
      <c r="B21" s="4"/>
      <c r="C21" s="198"/>
      <c r="D21" s="107" t="s">
        <v>903</v>
      </c>
      <c r="E21" s="247" t="s">
        <v>904</v>
      </c>
      <c r="F21" s="7"/>
      <c r="G21" s="7"/>
      <c r="H21" s="7"/>
      <c r="I21" s="7"/>
      <c r="J21" s="7"/>
      <c r="K21" s="7"/>
      <c r="L21" s="7"/>
      <c r="M21" s="7"/>
      <c r="N21" s="7"/>
      <c r="O21" s="7"/>
      <c r="P21" s="7"/>
      <c r="Q21" s="7"/>
      <c r="R21" s="7"/>
      <c r="S21" s="7"/>
      <c r="T21" s="7"/>
      <c r="U21" s="7"/>
      <c r="V21" s="7"/>
      <c r="W21" s="7"/>
      <c r="X21" s="7"/>
      <c r="Y21" s="7"/>
      <c r="Z21" s="7"/>
      <c r="AA21" s="7"/>
      <c r="AB21" s="7"/>
      <c r="AC21" s="4"/>
    </row>
    <row r="22" spans="1:29" ht="14.45" customHeight="1">
      <c r="A22" s="4"/>
      <c r="B22" s="4"/>
      <c r="C22" s="198"/>
      <c r="D22" s="107" t="s">
        <v>905</v>
      </c>
      <c r="E22" s="247" t="s">
        <v>906</v>
      </c>
      <c r="F22" s="7"/>
      <c r="G22" s="7"/>
      <c r="H22" s="7"/>
      <c r="I22" s="7"/>
      <c r="J22" s="7"/>
      <c r="K22" s="7"/>
      <c r="L22" s="7"/>
      <c r="M22" s="7"/>
      <c r="N22" s="7"/>
      <c r="O22" s="7"/>
      <c r="P22" s="7"/>
      <c r="Q22" s="7"/>
      <c r="R22" s="7"/>
      <c r="S22" s="7"/>
      <c r="T22" s="7"/>
      <c r="U22" s="7"/>
      <c r="V22" s="7"/>
      <c r="W22" s="7"/>
      <c r="X22" s="7"/>
      <c r="Y22" s="7"/>
      <c r="Z22" s="7"/>
      <c r="AA22" s="7"/>
      <c r="AB22" s="7"/>
      <c r="AC22" s="4"/>
    </row>
    <row r="23" spans="1:29" ht="14.45" customHeight="1">
      <c r="A23" s="4"/>
      <c r="B23" s="4"/>
      <c r="C23" s="198"/>
      <c r="D23" s="108" t="s">
        <v>907</v>
      </c>
      <c r="E23" s="248" t="s">
        <v>908</v>
      </c>
      <c r="F23" s="7"/>
      <c r="G23" s="7"/>
      <c r="H23" s="7"/>
      <c r="I23" s="7"/>
      <c r="J23" s="7"/>
      <c r="K23" s="7"/>
      <c r="L23" s="7"/>
      <c r="M23" s="7"/>
      <c r="N23" s="7"/>
      <c r="O23" s="7"/>
      <c r="P23" s="7"/>
      <c r="Q23" s="7"/>
      <c r="R23" s="7"/>
      <c r="S23" s="7"/>
      <c r="T23" s="7"/>
      <c r="U23" s="7"/>
      <c r="V23" s="7"/>
      <c r="W23" s="7"/>
      <c r="X23" s="7"/>
      <c r="Y23" s="7"/>
      <c r="Z23" s="7"/>
      <c r="AA23" s="7"/>
      <c r="AB23" s="7"/>
      <c r="AC23" s="4"/>
    </row>
    <row r="24" spans="1:29" ht="14.45" customHeight="1">
      <c r="A24" s="4"/>
      <c r="B24" s="4"/>
      <c r="C24" s="198"/>
      <c r="D24" s="7"/>
      <c r="E24" s="7"/>
      <c r="F24" s="7"/>
      <c r="G24" s="7"/>
      <c r="H24" s="7"/>
      <c r="I24" s="7"/>
      <c r="J24" s="7"/>
      <c r="K24" s="7"/>
      <c r="L24" s="7"/>
      <c r="M24" s="7"/>
      <c r="N24" s="7"/>
      <c r="O24" s="7"/>
      <c r="P24" s="7"/>
      <c r="Q24" s="7"/>
      <c r="R24" s="7"/>
      <c r="S24" s="7"/>
      <c r="T24" s="7"/>
      <c r="U24" s="7"/>
      <c r="V24" s="7"/>
      <c r="W24" s="7"/>
      <c r="X24" s="7"/>
      <c r="Y24" s="7"/>
      <c r="Z24" s="7"/>
      <c r="AA24" s="159"/>
      <c r="AB24" s="7"/>
      <c r="AC24" s="4"/>
    </row>
    <row r="25" spans="1:29">
      <c r="A25" s="4"/>
      <c r="B25" s="4"/>
      <c r="C25" s="4"/>
      <c r="D25" s="4"/>
      <c r="E25" s="4"/>
      <c r="F25" s="4"/>
      <c r="G25" s="4"/>
      <c r="H25" s="4"/>
      <c r="I25" s="4"/>
      <c r="J25" s="4"/>
      <c r="K25" s="4"/>
      <c r="L25" s="4"/>
      <c r="M25" s="4"/>
      <c r="N25" s="4"/>
      <c r="O25" s="4"/>
      <c r="P25" s="4"/>
      <c r="Q25" s="4"/>
      <c r="R25" s="4"/>
      <c r="S25" s="4"/>
      <c r="T25" s="4"/>
      <c r="U25" s="4"/>
      <c r="V25" s="4"/>
      <c r="W25" s="4"/>
      <c r="X25" s="4"/>
      <c r="Y25" s="4"/>
      <c r="Z25" s="4"/>
      <c r="AA25" s="4"/>
      <c r="AB25" s="4"/>
      <c r="AC25" s="4"/>
    </row>
    <row r="26" spans="1:29">
      <c r="A26" s="4"/>
      <c r="B26" s="4"/>
      <c r="C26" s="7" t="s">
        <v>1555</v>
      </c>
      <c r="D26" s="7"/>
      <c r="E26" s="7"/>
      <c r="F26" s="7"/>
      <c r="G26" s="7"/>
      <c r="H26" s="7"/>
      <c r="I26" s="7"/>
      <c r="J26" s="7"/>
      <c r="K26" s="7"/>
      <c r="L26" s="7"/>
      <c r="M26" s="7"/>
      <c r="N26" s="7"/>
      <c r="O26" s="7"/>
      <c r="P26" s="7"/>
      <c r="Q26" s="7"/>
      <c r="R26" s="7"/>
      <c r="S26" s="7"/>
      <c r="T26" s="7"/>
      <c r="U26" s="7"/>
      <c r="V26" s="7"/>
      <c r="W26" s="7"/>
      <c r="X26" s="7"/>
      <c r="Y26" s="7"/>
      <c r="Z26" s="7"/>
      <c r="AA26" s="7"/>
      <c r="AB26" s="7"/>
      <c r="AC26" s="4"/>
    </row>
    <row r="27" spans="1:29">
      <c r="A27" s="4"/>
      <c r="B27" s="4"/>
      <c r="C27" s="7"/>
      <c r="D27" s="7"/>
      <c r="E27" s="7"/>
      <c r="F27" s="7"/>
      <c r="G27" s="7"/>
      <c r="H27" s="7"/>
      <c r="I27" s="7"/>
      <c r="J27" s="7"/>
      <c r="K27" s="7"/>
      <c r="L27" s="7"/>
      <c r="M27" s="7"/>
      <c r="N27" s="7"/>
      <c r="O27" s="7"/>
      <c r="P27" s="7"/>
      <c r="Q27" s="7"/>
      <c r="R27" s="7"/>
      <c r="S27" s="7"/>
      <c r="T27" s="7"/>
      <c r="U27" s="7"/>
      <c r="V27" s="7"/>
      <c r="W27" s="7"/>
      <c r="X27" s="7"/>
      <c r="Y27" s="7"/>
      <c r="Z27" s="7"/>
      <c r="AA27" s="7"/>
      <c r="AB27" s="7"/>
      <c r="AC27" s="4"/>
    </row>
    <row r="28" spans="1:29">
      <c r="A28" s="4"/>
      <c r="B28" s="4"/>
      <c r="C28" s="7" t="s">
        <v>799</v>
      </c>
      <c r="D28" s="7"/>
      <c r="E28" s="7"/>
      <c r="F28" s="7"/>
      <c r="G28" s="7"/>
      <c r="H28" s="7"/>
      <c r="I28" s="7"/>
      <c r="J28" s="7"/>
      <c r="K28" s="7"/>
      <c r="L28" s="7"/>
      <c r="M28" s="7"/>
      <c r="N28" s="7"/>
      <c r="O28" s="7"/>
      <c r="P28" s="7"/>
      <c r="Q28" s="7"/>
      <c r="R28" s="7"/>
      <c r="S28" s="7"/>
      <c r="T28" s="7"/>
      <c r="U28" s="7"/>
      <c r="V28" s="7"/>
      <c r="W28" s="7"/>
      <c r="X28" s="7"/>
      <c r="Y28" s="7"/>
      <c r="Z28" s="7"/>
      <c r="AA28" s="7"/>
      <c r="AB28" s="7"/>
      <c r="AC28" s="4"/>
    </row>
    <row r="29" spans="1:29">
      <c r="A29" s="4"/>
      <c r="B29" s="4"/>
      <c r="C29" s="7" t="s">
        <v>800</v>
      </c>
      <c r="D29" s="7"/>
      <c r="E29" s="7"/>
      <c r="F29" s="7"/>
      <c r="G29" s="7"/>
      <c r="H29" s="7"/>
      <c r="I29" s="7"/>
      <c r="J29" s="7"/>
      <c r="K29" s="7"/>
      <c r="L29" s="7"/>
      <c r="M29" s="7"/>
      <c r="N29" s="7"/>
      <c r="O29" s="7"/>
      <c r="P29" s="7"/>
      <c r="Q29" s="7"/>
      <c r="R29" s="7"/>
      <c r="S29" s="7"/>
      <c r="T29" s="7"/>
      <c r="U29" s="7"/>
      <c r="V29" s="7"/>
      <c r="W29" s="7"/>
      <c r="X29" s="7"/>
      <c r="Y29" s="7"/>
      <c r="Z29" s="7"/>
      <c r="AA29" s="7"/>
      <c r="AB29" s="7"/>
      <c r="AC29" s="4"/>
    </row>
    <row r="30" spans="1:29">
      <c r="A30" s="4"/>
      <c r="B30" s="4"/>
      <c r="C30" s="7" t="s">
        <v>801</v>
      </c>
      <c r="D30" s="7"/>
      <c r="E30" s="7"/>
      <c r="F30" s="7"/>
      <c r="G30" s="7"/>
      <c r="H30" s="7"/>
      <c r="I30" s="7"/>
      <c r="J30" s="7"/>
      <c r="K30" s="7"/>
      <c r="L30" s="7"/>
      <c r="M30" s="7"/>
      <c r="N30" s="7"/>
      <c r="O30" s="7"/>
      <c r="P30" s="7"/>
      <c r="Q30" s="7"/>
      <c r="R30" s="7"/>
      <c r="S30" s="7"/>
      <c r="T30" s="7"/>
      <c r="U30" s="7"/>
      <c r="V30" s="7"/>
      <c r="W30" s="7"/>
      <c r="X30" s="7"/>
      <c r="Y30" s="7"/>
      <c r="Z30" s="7"/>
      <c r="AA30" s="7"/>
      <c r="AB30" s="7"/>
      <c r="AC30" s="4"/>
    </row>
    <row r="31" spans="1:29" ht="16.5">
      <c r="A31" s="4"/>
      <c r="B31" s="4"/>
      <c r="C31" s="7" t="s">
        <v>802</v>
      </c>
      <c r="D31" s="7"/>
      <c r="E31" s="7"/>
      <c r="F31" s="7"/>
      <c r="G31" s="7"/>
      <c r="H31" s="7"/>
      <c r="I31" s="7"/>
      <c r="J31" s="7"/>
      <c r="K31" s="7"/>
      <c r="L31" s="7"/>
      <c r="M31" s="7"/>
      <c r="N31" s="7"/>
      <c r="O31" s="7"/>
      <c r="P31" s="7"/>
      <c r="Q31" s="7"/>
      <c r="R31" s="7"/>
      <c r="S31" s="7"/>
      <c r="T31" s="7"/>
      <c r="U31" s="7"/>
      <c r="V31" s="7"/>
      <c r="W31" s="7"/>
      <c r="X31" s="7"/>
      <c r="Y31" s="7"/>
      <c r="Z31" s="7"/>
      <c r="AA31" s="7"/>
      <c r="AB31" s="7"/>
      <c r="AC31" s="4"/>
    </row>
    <row r="32" spans="1:29">
      <c r="A32" s="4"/>
      <c r="B32" s="4"/>
      <c r="C32" s="7" t="s">
        <v>1556</v>
      </c>
      <c r="D32" s="7"/>
      <c r="E32" s="7"/>
      <c r="F32" s="7"/>
      <c r="G32" s="7"/>
      <c r="H32" s="7"/>
      <c r="I32" s="7"/>
      <c r="J32" s="7"/>
      <c r="K32" s="7"/>
      <c r="L32" s="7"/>
      <c r="M32" s="7"/>
      <c r="N32" s="7"/>
      <c r="O32" s="7"/>
      <c r="P32" s="7"/>
      <c r="Q32" s="7"/>
      <c r="R32" s="7"/>
      <c r="S32" s="7"/>
      <c r="T32" s="7"/>
      <c r="U32" s="7"/>
      <c r="V32" s="7"/>
      <c r="W32" s="7"/>
      <c r="X32" s="7"/>
      <c r="Y32" s="7"/>
      <c r="Z32" s="7"/>
      <c r="AA32" s="7"/>
      <c r="AB32" s="7"/>
      <c r="AC32" s="4"/>
    </row>
    <row r="33" spans="1:29">
      <c r="A33" s="4"/>
      <c r="B33" s="4"/>
      <c r="C33" s="7" t="s">
        <v>804</v>
      </c>
      <c r="D33" s="7"/>
      <c r="E33" s="7"/>
      <c r="F33" s="7"/>
      <c r="G33" s="7"/>
      <c r="H33" s="7"/>
      <c r="I33" s="7"/>
      <c r="J33" s="7"/>
      <c r="K33" s="7"/>
      <c r="L33" s="7"/>
      <c r="M33" s="7"/>
      <c r="N33" s="7"/>
      <c r="O33" s="7"/>
      <c r="P33" s="7"/>
      <c r="Q33" s="7"/>
      <c r="R33" s="7"/>
      <c r="S33" s="7"/>
      <c r="T33" s="7"/>
      <c r="U33" s="7"/>
      <c r="V33" s="7"/>
      <c r="W33" s="7"/>
      <c r="X33" s="7"/>
      <c r="Y33" s="7"/>
      <c r="Z33" s="7"/>
      <c r="AA33" s="7"/>
      <c r="AB33" s="7"/>
      <c r="AC33" s="4"/>
    </row>
    <row r="34" spans="1:29">
      <c r="A34" s="4"/>
      <c r="B34" s="4"/>
      <c r="C34" s="7" t="s">
        <v>805</v>
      </c>
      <c r="D34" s="7"/>
      <c r="E34" s="7"/>
      <c r="F34" s="7"/>
      <c r="G34" s="7"/>
      <c r="H34" s="7"/>
      <c r="I34" s="7"/>
      <c r="J34" s="7"/>
      <c r="K34" s="7"/>
      <c r="L34" s="7"/>
      <c r="M34" s="7"/>
      <c r="N34" s="7"/>
      <c r="O34" s="7"/>
      <c r="P34" s="7"/>
      <c r="Q34" s="7"/>
      <c r="R34" s="7"/>
      <c r="S34" s="7"/>
      <c r="T34" s="7"/>
      <c r="U34" s="7"/>
      <c r="V34" s="7"/>
      <c r="W34" s="7"/>
      <c r="X34" s="7"/>
      <c r="Y34" s="7"/>
      <c r="Z34" s="7"/>
      <c r="AA34" s="7"/>
      <c r="AB34" s="7"/>
      <c r="AC34" s="4"/>
    </row>
    <row r="35" spans="1:29">
      <c r="A35" s="4"/>
      <c r="B35" s="4"/>
      <c r="C35" s="7" t="s">
        <v>806</v>
      </c>
      <c r="D35" s="7"/>
      <c r="E35" s="7"/>
      <c r="F35" s="7"/>
      <c r="G35" s="7"/>
      <c r="H35" s="7"/>
      <c r="I35" s="7"/>
      <c r="J35" s="7"/>
      <c r="K35" s="7"/>
      <c r="L35" s="7"/>
      <c r="M35" s="7"/>
      <c r="N35" s="7"/>
      <c r="O35" s="7"/>
      <c r="P35" s="7"/>
      <c r="Q35" s="7"/>
      <c r="R35" s="7"/>
      <c r="S35" s="7"/>
      <c r="T35" s="7"/>
      <c r="U35" s="7"/>
      <c r="V35" s="7"/>
      <c r="W35" s="7"/>
      <c r="X35" s="7"/>
      <c r="Y35" s="7"/>
      <c r="Z35" s="7"/>
      <c r="AA35" s="7"/>
      <c r="AB35" s="7"/>
      <c r="AC35" s="4"/>
    </row>
    <row r="36" spans="1:29">
      <c r="A36" s="4"/>
      <c r="B36" s="4"/>
      <c r="C36" s="7" t="s">
        <v>807</v>
      </c>
      <c r="D36" s="7"/>
      <c r="E36" s="7"/>
      <c r="F36" s="7"/>
      <c r="G36" s="7"/>
      <c r="H36" s="7"/>
      <c r="I36" s="7"/>
      <c r="J36" s="7"/>
      <c r="K36" s="7"/>
      <c r="L36" s="7"/>
      <c r="M36" s="7"/>
      <c r="N36" s="7"/>
      <c r="O36" s="7"/>
      <c r="P36" s="7"/>
      <c r="Q36" s="7"/>
      <c r="R36" s="7"/>
      <c r="S36" s="7"/>
      <c r="T36" s="7"/>
      <c r="U36" s="7"/>
      <c r="V36" s="7"/>
      <c r="W36" s="7"/>
      <c r="X36" s="7"/>
      <c r="Y36" s="7"/>
      <c r="Z36" s="7"/>
      <c r="AA36" s="7"/>
      <c r="AB36" s="7"/>
      <c r="AC36" s="4"/>
    </row>
    <row r="37" spans="1:29">
      <c r="A37" s="4"/>
      <c r="B37" s="4"/>
      <c r="C37" s="4"/>
      <c r="D37" s="4"/>
      <c r="E37" s="4"/>
      <c r="F37" s="4"/>
      <c r="G37" s="4"/>
      <c r="H37" s="4"/>
      <c r="I37" s="4"/>
      <c r="J37" s="4"/>
      <c r="K37" s="4"/>
      <c r="L37" s="4"/>
      <c r="M37" s="4"/>
      <c r="N37" s="4"/>
      <c r="O37" s="4"/>
      <c r="P37" s="4"/>
      <c r="Q37" s="4"/>
      <c r="R37" s="4"/>
      <c r="S37" s="4"/>
      <c r="T37" s="4"/>
      <c r="U37" s="4"/>
      <c r="V37" s="4"/>
      <c r="W37" s="4"/>
      <c r="X37" s="4"/>
      <c r="Y37" s="4"/>
      <c r="Z37" s="4"/>
      <c r="AA37" s="4"/>
      <c r="AB37" s="4"/>
      <c r="AC37" s="4"/>
    </row>
    <row r="38" spans="1:29" s="123" customFormat="1" ht="18.600000000000001">
      <c r="A38" s="102"/>
      <c r="B38" s="102"/>
      <c r="C38" s="102" t="s">
        <v>1557</v>
      </c>
      <c r="D38" s="102"/>
      <c r="E38" s="102"/>
      <c r="F38" s="102"/>
      <c r="G38" s="102"/>
      <c r="H38" s="102"/>
      <c r="I38" s="102"/>
      <c r="J38" s="102"/>
      <c r="K38" s="102"/>
      <c r="L38" s="102"/>
      <c r="M38" s="102"/>
      <c r="N38" s="102"/>
      <c r="O38" s="102"/>
      <c r="P38" s="102"/>
      <c r="Q38" s="102"/>
      <c r="R38" s="102"/>
      <c r="S38" s="102"/>
      <c r="T38" s="102"/>
      <c r="U38" s="102"/>
      <c r="V38" s="102"/>
      <c r="W38" s="102"/>
      <c r="X38" s="102"/>
      <c r="Y38" s="102"/>
      <c r="Z38" s="102"/>
      <c r="AA38" s="102"/>
      <c r="AB38" s="102"/>
      <c r="AC38" s="102"/>
    </row>
    <row r="39" spans="1:29" outlineLevel="1">
      <c r="A39" s="4"/>
      <c r="B39" s="4"/>
      <c r="C39" s="4"/>
      <c r="D39" s="4"/>
      <c r="E39" s="4"/>
      <c r="F39" s="4"/>
      <c r="G39" s="4"/>
      <c r="H39" s="4"/>
      <c r="I39" s="4"/>
      <c r="J39" s="4"/>
      <c r="K39" s="4"/>
      <c r="L39" s="4"/>
      <c r="M39" s="4"/>
      <c r="N39" s="4"/>
      <c r="O39" s="4"/>
      <c r="P39" s="4"/>
      <c r="Q39" s="4"/>
      <c r="R39" s="4"/>
      <c r="S39" s="4"/>
      <c r="T39" s="4"/>
      <c r="U39" s="4"/>
      <c r="V39" s="4"/>
      <c r="W39" s="4"/>
      <c r="X39" s="4"/>
      <c r="Y39" s="4"/>
      <c r="Z39" s="4"/>
      <c r="AA39" s="4"/>
      <c r="AB39" s="4"/>
      <c r="AC39" s="4"/>
    </row>
    <row r="40" spans="1:29" outlineLevel="1">
      <c r="A40" s="4"/>
      <c r="B40" s="4"/>
      <c r="C40" s="7"/>
      <c r="D40" s="7"/>
      <c r="E40" s="7"/>
      <c r="F40" s="7"/>
      <c r="G40" s="7"/>
      <c r="H40" s="7"/>
      <c r="I40" s="7"/>
      <c r="J40" s="7"/>
      <c r="K40" s="7"/>
      <c r="L40" s="7"/>
      <c r="M40" s="7"/>
      <c r="N40" s="7"/>
      <c r="O40" s="7"/>
      <c r="P40" s="7"/>
      <c r="Q40" s="7"/>
      <c r="R40" s="7"/>
      <c r="S40" s="7"/>
      <c r="T40" s="7"/>
      <c r="U40" s="7"/>
      <c r="V40" s="7"/>
      <c r="W40" s="7"/>
      <c r="X40" s="7"/>
      <c r="Y40" s="7"/>
      <c r="Z40" s="7"/>
      <c r="AA40" s="7"/>
      <c r="AB40" s="7"/>
      <c r="AC40" s="4"/>
    </row>
    <row r="41" spans="1:29" ht="16.5" outlineLevel="1">
      <c r="A41" s="4"/>
      <c r="B41" s="4"/>
      <c r="C41" s="7"/>
      <c r="D41" s="203" t="s">
        <v>808</v>
      </c>
      <c r="E41" s="203" t="s">
        <v>138</v>
      </c>
      <c r="F41" s="203" t="s">
        <v>474</v>
      </c>
      <c r="G41" s="203" t="s">
        <v>1558</v>
      </c>
      <c r="H41" s="203" t="s">
        <v>1559</v>
      </c>
      <c r="I41" s="203" t="s">
        <v>411</v>
      </c>
      <c r="J41" s="203" t="s">
        <v>811</v>
      </c>
      <c r="K41" s="203" t="s">
        <v>812</v>
      </c>
      <c r="L41" s="203" t="s">
        <v>813</v>
      </c>
      <c r="M41" s="203" t="s">
        <v>814</v>
      </c>
      <c r="N41" s="203" t="s">
        <v>187</v>
      </c>
      <c r="O41" s="203" t="s">
        <v>193</v>
      </c>
      <c r="P41" s="203" t="s">
        <v>815</v>
      </c>
      <c r="Q41" s="203" t="s">
        <v>816</v>
      </c>
      <c r="R41" s="203" t="s">
        <v>817</v>
      </c>
      <c r="S41" s="203" t="s">
        <v>818</v>
      </c>
      <c r="T41" s="203" t="s">
        <v>819</v>
      </c>
      <c r="U41" s="204" t="s">
        <v>820</v>
      </c>
      <c r="V41" s="204" t="s">
        <v>821</v>
      </c>
      <c r="W41" s="204" t="s">
        <v>822</v>
      </c>
      <c r="X41" s="204" t="s">
        <v>477</v>
      </c>
      <c r="Y41" s="204" t="s">
        <v>478</v>
      </c>
      <c r="Z41" s="204" t="s">
        <v>823</v>
      </c>
      <c r="AA41" s="204" t="s">
        <v>824</v>
      </c>
      <c r="AB41" s="7"/>
      <c r="AC41" s="4"/>
    </row>
    <row r="42" spans="1:29" ht="57.95" outlineLevel="1">
      <c r="A42" s="68"/>
      <c r="B42" s="68"/>
      <c r="C42" s="64"/>
      <c r="D42" s="205" t="s">
        <v>830</v>
      </c>
      <c r="E42" s="205" t="s">
        <v>834</v>
      </c>
      <c r="F42" s="18" t="s">
        <v>831</v>
      </c>
      <c r="G42" s="205" t="s">
        <v>1560</v>
      </c>
      <c r="H42" s="205" t="s">
        <v>1561</v>
      </c>
      <c r="I42" s="205" t="s">
        <v>1562</v>
      </c>
      <c r="J42" s="206">
        <v>44986</v>
      </c>
      <c r="K42" s="246" t="s">
        <v>1563</v>
      </c>
      <c r="L42" s="265" t="s">
        <v>1564</v>
      </c>
      <c r="M42" s="309">
        <v>4</v>
      </c>
      <c r="N42" s="309"/>
      <c r="O42" s="309"/>
      <c r="P42" s="310" t="s">
        <v>1565</v>
      </c>
      <c r="Q42" s="309">
        <f>Table3179[[#This Row],[Duration (Hours)]]*75*3</f>
        <v>900</v>
      </c>
      <c r="R42" s="307">
        <v>45170</v>
      </c>
      <c r="S42" s="18" t="s">
        <v>317</v>
      </c>
      <c r="T42" s="18" t="s">
        <v>318</v>
      </c>
      <c r="U42" s="205"/>
      <c r="V42" s="18">
        <v>1</v>
      </c>
      <c r="W42" s="18"/>
      <c r="X42" s="18"/>
      <c r="Y42" s="18"/>
      <c r="Z42" s="18" t="s">
        <v>828</v>
      </c>
      <c r="AA42" s="18"/>
      <c r="AB42" s="64"/>
      <c r="AC42" s="4"/>
    </row>
    <row r="43" spans="1:29" ht="57.95" outlineLevel="1">
      <c r="A43" s="4"/>
      <c r="B43" s="4"/>
      <c r="C43" s="7"/>
      <c r="D43" s="205" t="s">
        <v>832</v>
      </c>
      <c r="E43" s="205" t="s">
        <v>834</v>
      </c>
      <c r="F43" s="205" t="s">
        <v>831</v>
      </c>
      <c r="G43" s="205" t="s">
        <v>1560</v>
      </c>
      <c r="H43" s="205" t="s">
        <v>1566</v>
      </c>
      <c r="I43" s="205" t="s">
        <v>1562</v>
      </c>
      <c r="J43" s="206">
        <v>44986</v>
      </c>
      <c r="K43" s="265" t="s">
        <v>1567</v>
      </c>
      <c r="L43" s="265" t="s">
        <v>1564</v>
      </c>
      <c r="M43" s="309">
        <v>24</v>
      </c>
      <c r="N43" s="309"/>
      <c r="O43" s="309"/>
      <c r="P43" s="310" t="s">
        <v>1565</v>
      </c>
      <c r="Q43" s="309">
        <f>Table3179[[#This Row],[Duration (Hours)]]*75*3</f>
        <v>5400</v>
      </c>
      <c r="R43" s="307">
        <v>45170</v>
      </c>
      <c r="S43" s="18" t="s">
        <v>317</v>
      </c>
      <c r="T43" s="18" t="s">
        <v>317</v>
      </c>
      <c r="U43" s="205"/>
      <c r="V43" s="18">
        <v>2</v>
      </c>
      <c r="W43" s="18"/>
      <c r="X43" s="18"/>
      <c r="Y43" s="18"/>
      <c r="Z43" s="18" t="s">
        <v>828</v>
      </c>
      <c r="AA43" s="18"/>
      <c r="AB43" s="7"/>
      <c r="AC43" s="4"/>
    </row>
    <row r="44" spans="1:29" ht="57.95" outlineLevel="1">
      <c r="A44" s="4"/>
      <c r="B44" s="4"/>
      <c r="C44" s="7"/>
      <c r="D44" s="205" t="s">
        <v>833</v>
      </c>
      <c r="E44" s="205" t="s">
        <v>834</v>
      </c>
      <c r="F44" s="205" t="s">
        <v>831</v>
      </c>
      <c r="G44" s="205" t="s">
        <v>1560</v>
      </c>
      <c r="H44" s="205" t="s">
        <v>1568</v>
      </c>
      <c r="I44" s="205" t="s">
        <v>1562</v>
      </c>
      <c r="J44" s="206">
        <v>44986</v>
      </c>
      <c r="K44" s="265" t="s">
        <v>1567</v>
      </c>
      <c r="L44" s="265" t="s">
        <v>1564</v>
      </c>
      <c r="M44" s="309">
        <v>24</v>
      </c>
      <c r="N44" s="309"/>
      <c r="O44" s="309"/>
      <c r="P44" s="310" t="s">
        <v>1565</v>
      </c>
      <c r="Q44" s="309">
        <f>Table3179[[#This Row],[Duration (Hours)]]*75*3</f>
        <v>5400</v>
      </c>
      <c r="R44" s="307">
        <v>45170</v>
      </c>
      <c r="S44" s="18" t="s">
        <v>317</v>
      </c>
      <c r="T44" s="18" t="s">
        <v>317</v>
      </c>
      <c r="U44" s="205"/>
      <c r="V44" s="18">
        <v>3</v>
      </c>
      <c r="W44" s="18"/>
      <c r="X44" s="18"/>
      <c r="Y44" s="18"/>
      <c r="Z44" s="254" t="s">
        <v>835</v>
      </c>
      <c r="AA44" s="18"/>
      <c r="AB44" s="7"/>
      <c r="AC44" s="4"/>
    </row>
    <row r="45" spans="1:29" ht="57.95" outlineLevel="1">
      <c r="A45" s="4"/>
      <c r="B45" s="4"/>
      <c r="C45" s="7"/>
      <c r="D45" s="205" t="s">
        <v>836</v>
      </c>
      <c r="E45" s="205" t="s">
        <v>834</v>
      </c>
      <c r="F45" s="205" t="s">
        <v>837</v>
      </c>
      <c r="G45" s="205" t="s">
        <v>1569</v>
      </c>
      <c r="H45" s="205" t="s">
        <v>1566</v>
      </c>
      <c r="I45" s="205" t="s">
        <v>1562</v>
      </c>
      <c r="J45" s="206">
        <v>44986</v>
      </c>
      <c r="K45" s="265" t="s">
        <v>1567</v>
      </c>
      <c r="L45" s="265" t="s">
        <v>1564</v>
      </c>
      <c r="M45" s="309">
        <v>10</v>
      </c>
      <c r="N45" s="309"/>
      <c r="O45" s="309"/>
      <c r="P45" s="310" t="s">
        <v>1565</v>
      </c>
      <c r="Q45" s="309">
        <f>Table3179[[#This Row],[Duration (Hours)]]*75*3</f>
        <v>2250</v>
      </c>
      <c r="R45" s="307">
        <v>45170</v>
      </c>
      <c r="S45" s="18" t="s">
        <v>317</v>
      </c>
      <c r="T45" s="18" t="s">
        <v>317</v>
      </c>
      <c r="U45" s="205"/>
      <c r="V45" s="18">
        <v>3</v>
      </c>
      <c r="W45" s="18"/>
      <c r="X45" s="18"/>
      <c r="Y45" s="18"/>
      <c r="Z45" s="84" t="s">
        <v>838</v>
      </c>
      <c r="AA45" s="18"/>
      <c r="AB45" s="7"/>
      <c r="AC45" s="4"/>
    </row>
    <row r="46" spans="1:29" ht="87" outlineLevel="1">
      <c r="A46" s="4"/>
      <c r="B46" s="4"/>
      <c r="C46" s="7"/>
      <c r="D46" s="205" t="s">
        <v>862</v>
      </c>
      <c r="E46" s="205" t="s">
        <v>872</v>
      </c>
      <c r="F46" s="205" t="s">
        <v>863</v>
      </c>
      <c r="G46" s="205" t="s">
        <v>1560</v>
      </c>
      <c r="H46" s="205" t="s">
        <v>1568</v>
      </c>
      <c r="I46" s="205" t="s">
        <v>1570</v>
      </c>
      <c r="J46" s="206">
        <v>44986</v>
      </c>
      <c r="K46" s="265" t="s">
        <v>1567</v>
      </c>
      <c r="L46" s="265" t="s">
        <v>1564</v>
      </c>
      <c r="M46" s="309">
        <v>2</v>
      </c>
      <c r="N46" s="309"/>
      <c r="O46" s="309"/>
      <c r="P46" s="310" t="s">
        <v>1565</v>
      </c>
      <c r="Q46" s="309">
        <f>Table3179[[#This Row],[Duration (Hours)]]*75*3</f>
        <v>450</v>
      </c>
      <c r="R46" s="307">
        <v>45170</v>
      </c>
      <c r="S46" s="18" t="s">
        <v>317</v>
      </c>
      <c r="T46" s="18" t="s">
        <v>317</v>
      </c>
      <c r="U46" s="84" t="s">
        <v>864</v>
      </c>
      <c r="V46" s="18">
        <v>11</v>
      </c>
      <c r="W46" s="18"/>
      <c r="X46" s="18"/>
      <c r="Y46" s="18"/>
      <c r="Z46" s="18" t="s">
        <v>828</v>
      </c>
      <c r="AA46" s="14" t="s">
        <v>865</v>
      </c>
      <c r="AB46" s="7"/>
      <c r="AC46" s="4"/>
    </row>
    <row r="47" spans="1:29" ht="87" outlineLevel="1">
      <c r="A47" s="4"/>
      <c r="B47" s="4"/>
      <c r="C47" s="7"/>
      <c r="D47" s="205" t="s">
        <v>866</v>
      </c>
      <c r="E47" s="205" t="s">
        <v>872</v>
      </c>
      <c r="F47" s="205" t="s">
        <v>863</v>
      </c>
      <c r="G47" s="205" t="s">
        <v>1560</v>
      </c>
      <c r="H47" s="205" t="s">
        <v>1568</v>
      </c>
      <c r="I47" s="205" t="s">
        <v>1570</v>
      </c>
      <c r="J47" s="206">
        <v>44986</v>
      </c>
      <c r="K47" s="265" t="s">
        <v>1567</v>
      </c>
      <c r="L47" s="265" t="s">
        <v>1564</v>
      </c>
      <c r="M47" s="309">
        <v>2</v>
      </c>
      <c r="N47" s="309"/>
      <c r="O47" s="309"/>
      <c r="P47" s="310" t="s">
        <v>1565</v>
      </c>
      <c r="Q47" s="309">
        <f>Table3179[[#This Row],[Duration (Hours)]]*75*3</f>
        <v>450</v>
      </c>
      <c r="R47" s="307">
        <v>45170</v>
      </c>
      <c r="S47" s="18" t="s">
        <v>317</v>
      </c>
      <c r="T47" s="18" t="s">
        <v>317</v>
      </c>
      <c r="U47" s="84" t="s">
        <v>867</v>
      </c>
      <c r="V47" s="18">
        <v>12</v>
      </c>
      <c r="W47" s="18"/>
      <c r="X47" s="18"/>
      <c r="Y47" s="18"/>
      <c r="Z47" s="18" t="s">
        <v>828</v>
      </c>
      <c r="AA47" s="14" t="s">
        <v>865</v>
      </c>
      <c r="AB47" s="7"/>
      <c r="AC47" s="4"/>
    </row>
    <row r="48" spans="1:29" ht="87" outlineLevel="1">
      <c r="A48" s="4"/>
      <c r="B48" s="4"/>
      <c r="C48" s="7"/>
      <c r="D48" s="205" t="s">
        <v>868</v>
      </c>
      <c r="E48" s="205" t="s">
        <v>872</v>
      </c>
      <c r="F48" s="205" t="s">
        <v>863</v>
      </c>
      <c r="G48" s="205" t="s">
        <v>1560</v>
      </c>
      <c r="H48" s="205" t="s">
        <v>1568</v>
      </c>
      <c r="I48" s="205" t="s">
        <v>1570</v>
      </c>
      <c r="J48" s="206">
        <v>44986</v>
      </c>
      <c r="K48" s="265" t="s">
        <v>1567</v>
      </c>
      <c r="L48" s="246" t="s">
        <v>1571</v>
      </c>
      <c r="M48" s="309">
        <v>2</v>
      </c>
      <c r="N48" s="309"/>
      <c r="O48" s="309"/>
      <c r="P48" s="310" t="s">
        <v>1565</v>
      </c>
      <c r="Q48" s="309">
        <f>Table3179[[#This Row],[Duration (Hours)]]*75*3</f>
        <v>450</v>
      </c>
      <c r="R48" s="307">
        <v>45170</v>
      </c>
      <c r="S48" s="18" t="s">
        <v>317</v>
      </c>
      <c r="T48" s="18" t="s">
        <v>317</v>
      </c>
      <c r="U48" s="84" t="s">
        <v>869</v>
      </c>
      <c r="V48" s="18">
        <v>13</v>
      </c>
      <c r="W48" s="18"/>
      <c r="X48" s="18"/>
      <c r="Y48" s="18"/>
      <c r="Z48" s="18" t="s">
        <v>828</v>
      </c>
      <c r="AA48" s="14" t="s">
        <v>865</v>
      </c>
      <c r="AB48" s="7"/>
      <c r="AC48" s="4"/>
    </row>
    <row r="49" spans="1:29" ht="57.95" outlineLevel="1">
      <c r="A49" s="4"/>
      <c r="B49" s="4"/>
      <c r="C49" s="7"/>
      <c r="D49" s="205" t="s">
        <v>410</v>
      </c>
      <c r="E49" s="205" t="s">
        <v>834</v>
      </c>
      <c r="F49" s="205" t="s">
        <v>870</v>
      </c>
      <c r="G49" s="205" t="s">
        <v>1560</v>
      </c>
      <c r="H49" s="205"/>
      <c r="I49" s="205" t="s">
        <v>413</v>
      </c>
      <c r="J49" s="206">
        <v>44986</v>
      </c>
      <c r="K49" s="265" t="s">
        <v>1567</v>
      </c>
      <c r="L49" s="246" t="s">
        <v>1571</v>
      </c>
      <c r="M49" s="309">
        <v>2</v>
      </c>
      <c r="N49" s="309"/>
      <c r="O49" s="309"/>
      <c r="P49" s="310" t="s">
        <v>1565</v>
      </c>
      <c r="Q49" s="309">
        <f>Table3179[[#This Row],[Duration (Hours)]]*75*3</f>
        <v>450</v>
      </c>
      <c r="R49" s="307">
        <v>45170</v>
      </c>
      <c r="S49" s="18" t="s">
        <v>317</v>
      </c>
      <c r="T49" s="18" t="s">
        <v>317</v>
      </c>
      <c r="U49" s="251"/>
      <c r="V49" s="18">
        <v>14</v>
      </c>
      <c r="W49" s="18"/>
      <c r="X49" s="18"/>
      <c r="Y49" s="18"/>
      <c r="Z49" s="14" t="s">
        <v>71</v>
      </c>
      <c r="AA49" s="345"/>
      <c r="AB49" s="7"/>
      <c r="AC49" s="4"/>
    </row>
    <row r="50" spans="1:29" ht="43.5" outlineLevel="1">
      <c r="A50" s="4"/>
      <c r="B50" s="4"/>
      <c r="C50" s="7"/>
      <c r="D50" s="205" t="s">
        <v>871</v>
      </c>
      <c r="E50" s="205" t="s">
        <v>872</v>
      </c>
      <c r="F50" s="205" t="s">
        <v>873</v>
      </c>
      <c r="G50" s="205" t="s">
        <v>1560</v>
      </c>
      <c r="H50" s="205" t="s">
        <v>1561</v>
      </c>
      <c r="I50" s="205" t="s">
        <v>1562</v>
      </c>
      <c r="J50" s="206">
        <v>44987</v>
      </c>
      <c r="K50" s="265" t="s">
        <v>1567</v>
      </c>
      <c r="L50" s="246" t="s">
        <v>1571</v>
      </c>
      <c r="M50" s="309">
        <v>2</v>
      </c>
      <c r="N50" s="309"/>
      <c r="O50" s="309"/>
      <c r="P50" s="310" t="s">
        <v>1565</v>
      </c>
      <c r="Q50" s="309">
        <f>Table3179[[#This Row],[Duration (Hours)]]*75*3</f>
        <v>450</v>
      </c>
      <c r="R50" s="307">
        <v>45170</v>
      </c>
      <c r="S50" s="18" t="s">
        <v>318</v>
      </c>
      <c r="T50" s="18" t="s">
        <v>318</v>
      </c>
      <c r="U50" s="343"/>
      <c r="V50" s="18">
        <v>1</v>
      </c>
      <c r="W50" s="18"/>
      <c r="X50" s="18"/>
      <c r="Y50" s="18"/>
      <c r="Z50" s="344" t="s">
        <v>828</v>
      </c>
      <c r="AA50" s="311"/>
      <c r="AB50" s="7"/>
      <c r="AC50" s="4"/>
    </row>
    <row r="51" spans="1:29" outlineLevel="1">
      <c r="A51" s="4"/>
      <c r="B51" s="4"/>
      <c r="C51" s="7"/>
      <c r="D51" s="236"/>
      <c r="E51" s="236"/>
      <c r="F51" s="236"/>
      <c r="G51" s="236"/>
      <c r="H51" s="236"/>
      <c r="I51" s="237"/>
      <c r="J51" s="237"/>
      <c r="K51" s="237"/>
      <c r="L51" s="237"/>
      <c r="M51" s="237"/>
      <c r="N51" s="237"/>
      <c r="O51" s="237"/>
      <c r="P51" s="237"/>
      <c r="Q51" s="237"/>
      <c r="R51" s="236"/>
      <c r="S51" s="236"/>
      <c r="T51" s="93"/>
      <c r="U51" s="236"/>
      <c r="V51" s="236"/>
      <c r="W51" s="236"/>
      <c r="X51" s="236"/>
      <c r="Y51" s="236"/>
      <c r="Z51" s="236"/>
      <c r="AA51" s="7"/>
      <c r="AB51" s="7"/>
      <c r="AC51" s="4"/>
    </row>
    <row r="52" spans="1:29">
      <c r="A52" s="4"/>
      <c r="B52" s="4"/>
      <c r="C52" s="4"/>
      <c r="D52" s="207"/>
      <c r="E52" s="207"/>
      <c r="F52" s="207"/>
      <c r="G52" s="207"/>
      <c r="H52" s="207"/>
      <c r="I52" s="208"/>
      <c r="J52" s="208"/>
      <c r="K52" s="208"/>
      <c r="L52" s="208"/>
      <c r="M52" s="208"/>
      <c r="N52" s="208"/>
      <c r="O52" s="208"/>
      <c r="P52" s="208"/>
      <c r="Q52" s="208"/>
      <c r="R52" s="207"/>
      <c r="S52" s="207"/>
      <c r="T52" s="21"/>
      <c r="U52" s="207"/>
      <c r="V52" s="207"/>
      <c r="W52" s="207"/>
      <c r="X52" s="207"/>
      <c r="Y52" s="207"/>
      <c r="Z52" s="207"/>
      <c r="AA52" s="4"/>
      <c r="AB52" s="4"/>
      <c r="AC52" s="4"/>
    </row>
    <row r="53" spans="1:29" ht="18.600000000000001">
      <c r="A53" s="101"/>
      <c r="B53" s="101"/>
      <c r="C53" s="102" t="s">
        <v>78</v>
      </c>
      <c r="D53" s="207"/>
      <c r="E53" s="207"/>
      <c r="F53" s="207"/>
      <c r="G53" s="207"/>
      <c r="H53" s="207"/>
      <c r="I53" s="208"/>
      <c r="J53" s="208"/>
      <c r="K53" s="208"/>
      <c r="L53" s="208"/>
      <c r="M53" s="208"/>
      <c r="N53" s="208"/>
      <c r="O53" s="208"/>
      <c r="P53" s="208"/>
      <c r="Q53" s="208"/>
      <c r="R53" s="207"/>
      <c r="S53" s="207"/>
      <c r="T53" s="21"/>
      <c r="U53" s="207"/>
      <c r="V53" s="207"/>
      <c r="W53" s="207"/>
      <c r="X53" s="207"/>
      <c r="Y53" s="207"/>
      <c r="Z53" s="207"/>
      <c r="AA53" s="4"/>
      <c r="AB53" s="4"/>
      <c r="AC53" s="4"/>
    </row>
    <row r="54" spans="1:29" outlineLevel="1">
      <c r="A54" s="4"/>
      <c r="B54" s="4"/>
      <c r="C54" s="4"/>
      <c r="D54" s="202"/>
      <c r="E54" s="202"/>
      <c r="F54" s="202"/>
      <c r="G54" s="202"/>
      <c r="H54" s="202"/>
      <c r="I54" s="202"/>
      <c r="J54" s="202"/>
      <c r="K54" s="202"/>
      <c r="L54" s="202"/>
      <c r="M54" s="202"/>
      <c r="N54" s="202"/>
      <c r="O54" s="202"/>
      <c r="P54" s="202"/>
      <c r="Q54" s="202"/>
      <c r="R54" s="4"/>
      <c r="S54" s="4"/>
      <c r="T54" s="4"/>
      <c r="U54" s="4"/>
      <c r="V54" s="4"/>
      <c r="W54" s="4"/>
      <c r="X54" s="4"/>
      <c r="Y54" s="4"/>
      <c r="Z54" s="4"/>
      <c r="AA54" s="4"/>
      <c r="AB54" s="4"/>
      <c r="AC54" s="4"/>
    </row>
    <row r="55" spans="1:29" ht="16.5" outlineLevel="1">
      <c r="A55" s="4"/>
      <c r="B55" s="4"/>
      <c r="C55" s="169">
        <v>1</v>
      </c>
      <c r="D55" s="7" t="s">
        <v>874</v>
      </c>
      <c r="E55" s="7"/>
      <c r="F55" s="7"/>
      <c r="G55" s="7"/>
      <c r="H55" s="7"/>
      <c r="I55" s="7"/>
      <c r="J55" s="7"/>
      <c r="K55" s="7"/>
      <c r="L55" s="7"/>
      <c r="M55" s="7"/>
      <c r="N55" s="7"/>
      <c r="O55" s="7"/>
      <c r="P55" s="7"/>
      <c r="Q55" s="7"/>
      <c r="R55" s="7"/>
      <c r="S55" s="7"/>
      <c r="T55" s="7"/>
      <c r="U55" s="7"/>
      <c r="V55" s="7"/>
      <c r="W55" s="7"/>
      <c r="X55" s="7"/>
      <c r="Y55" s="7"/>
      <c r="Z55" s="7"/>
      <c r="AA55" s="7"/>
      <c r="AB55" s="7"/>
      <c r="AC55" s="4"/>
    </row>
    <row r="56" spans="1:29" ht="16.5" outlineLevel="1">
      <c r="A56" s="4"/>
      <c r="B56" s="4"/>
      <c r="C56" s="169">
        <v>1</v>
      </c>
      <c r="D56" s="7" t="s">
        <v>875</v>
      </c>
      <c r="E56" s="7"/>
      <c r="F56" s="7"/>
      <c r="G56" s="7"/>
      <c r="H56" s="7"/>
      <c r="I56" s="7"/>
      <c r="J56" s="7"/>
      <c r="K56" s="7"/>
      <c r="L56" s="7"/>
      <c r="M56" s="7"/>
      <c r="N56" s="7"/>
      <c r="O56" s="7"/>
      <c r="P56" s="7"/>
      <c r="Q56" s="7"/>
      <c r="R56" s="7"/>
      <c r="S56" s="7"/>
      <c r="T56" s="7"/>
      <c r="U56" s="7"/>
      <c r="V56" s="7"/>
      <c r="W56" s="7"/>
      <c r="X56" s="7"/>
      <c r="Y56" s="7"/>
      <c r="Z56" s="7"/>
      <c r="AA56" s="7"/>
      <c r="AB56" s="7"/>
      <c r="AC56" s="4"/>
    </row>
    <row r="57" spans="1:29" ht="16.5" outlineLevel="1">
      <c r="A57" s="4"/>
      <c r="B57" s="4"/>
      <c r="C57" s="169">
        <v>2</v>
      </c>
      <c r="D57" s="7" t="s">
        <v>876</v>
      </c>
      <c r="E57" s="7"/>
      <c r="F57" s="7"/>
      <c r="G57" s="7"/>
      <c r="H57" s="7"/>
      <c r="I57" s="7"/>
      <c r="J57" s="7"/>
      <c r="K57" s="7"/>
      <c r="L57" s="7"/>
      <c r="M57" s="7"/>
      <c r="N57" s="7"/>
      <c r="O57" s="7"/>
      <c r="P57" s="7"/>
      <c r="Q57" s="7"/>
      <c r="R57" s="7"/>
      <c r="S57" s="7"/>
      <c r="T57" s="7"/>
      <c r="U57" s="7"/>
      <c r="V57" s="7"/>
      <c r="W57" s="7"/>
      <c r="X57" s="7"/>
      <c r="Y57" s="7"/>
      <c r="Z57" s="7"/>
      <c r="AA57" s="7"/>
      <c r="AB57" s="7"/>
      <c r="AC57" s="4"/>
    </row>
    <row r="58" spans="1:29" ht="16.5" outlineLevel="1">
      <c r="A58" s="4"/>
      <c r="B58" s="4"/>
      <c r="C58" s="169">
        <v>2</v>
      </c>
      <c r="D58" s="7" t="s">
        <v>877</v>
      </c>
      <c r="E58" s="7"/>
      <c r="F58" s="7"/>
      <c r="G58" s="7"/>
      <c r="H58" s="7"/>
      <c r="I58" s="7"/>
      <c r="J58" s="7"/>
      <c r="K58" s="7"/>
      <c r="L58" s="7"/>
      <c r="M58" s="7"/>
      <c r="N58" s="7"/>
      <c r="O58" s="7"/>
      <c r="P58" s="7"/>
      <c r="Q58" s="7"/>
      <c r="R58" s="7"/>
      <c r="S58" s="7"/>
      <c r="T58" s="7"/>
      <c r="U58" s="7"/>
      <c r="V58" s="7"/>
      <c r="W58" s="7"/>
      <c r="X58" s="7"/>
      <c r="Y58" s="7"/>
      <c r="Z58" s="7"/>
      <c r="AA58" s="7"/>
      <c r="AB58" s="7"/>
      <c r="AC58" s="4"/>
    </row>
    <row r="59" spans="1:29" ht="16.5" outlineLevel="1">
      <c r="A59" s="4"/>
      <c r="B59" s="4"/>
      <c r="C59" s="169">
        <v>2</v>
      </c>
      <c r="D59" s="7" t="s">
        <v>878</v>
      </c>
      <c r="E59" s="7"/>
      <c r="F59" s="7"/>
      <c r="G59" s="7"/>
      <c r="H59" s="7"/>
      <c r="I59" s="7"/>
      <c r="J59" s="7"/>
      <c r="K59" s="7"/>
      <c r="L59" s="7"/>
      <c r="M59" s="7"/>
      <c r="N59" s="7"/>
      <c r="O59" s="7"/>
      <c r="P59" s="7"/>
      <c r="Q59" s="7"/>
      <c r="R59" s="7"/>
      <c r="S59" s="7"/>
      <c r="T59" s="7"/>
      <c r="U59" s="7"/>
      <c r="V59" s="7"/>
      <c r="W59" s="7"/>
      <c r="X59" s="7"/>
      <c r="Y59" s="7"/>
      <c r="Z59" s="7"/>
      <c r="AA59" s="7"/>
      <c r="AB59" s="7"/>
      <c r="AC59" s="4"/>
    </row>
    <row r="60" spans="1:29" outlineLevel="1">
      <c r="A60" s="4"/>
      <c r="B60" s="4"/>
      <c r="C60" s="7"/>
      <c r="D60" s="70" t="s">
        <v>879</v>
      </c>
      <c r="E60" s="7"/>
      <c r="F60" s="7"/>
      <c r="G60" s="7"/>
      <c r="H60" s="7"/>
      <c r="I60" s="7"/>
      <c r="J60" s="7"/>
      <c r="K60" s="7"/>
      <c r="L60" s="7"/>
      <c r="M60" s="7"/>
      <c r="N60" s="7"/>
      <c r="O60" s="7"/>
      <c r="P60" s="7"/>
      <c r="Q60" s="7"/>
      <c r="R60" s="7"/>
      <c r="S60" s="7"/>
      <c r="T60" s="7"/>
      <c r="U60" s="7"/>
      <c r="V60" s="7"/>
      <c r="W60" s="7"/>
      <c r="X60" s="7"/>
      <c r="Y60" s="7"/>
      <c r="Z60" s="7"/>
      <c r="AA60" s="7"/>
      <c r="AB60" s="7"/>
      <c r="AC60" s="4"/>
    </row>
    <row r="61" spans="1:29" outlineLevel="1">
      <c r="A61" s="4"/>
      <c r="B61" s="4"/>
      <c r="C61" s="7"/>
      <c r="D61" s="70" t="s">
        <v>880</v>
      </c>
      <c r="E61" s="7"/>
      <c r="F61" s="7"/>
      <c r="G61" s="7"/>
      <c r="H61" s="7"/>
      <c r="I61" s="7"/>
      <c r="J61" s="7"/>
      <c r="K61" s="7"/>
      <c r="L61" s="7"/>
      <c r="M61" s="7"/>
      <c r="N61" s="7"/>
      <c r="O61" s="7"/>
      <c r="P61" s="7"/>
      <c r="Q61" s="7"/>
      <c r="R61" s="7"/>
      <c r="S61" s="7"/>
      <c r="T61" s="7"/>
      <c r="U61" s="7"/>
      <c r="V61" s="7"/>
      <c r="W61" s="7"/>
      <c r="X61" s="7"/>
      <c r="Y61" s="7"/>
      <c r="Z61" s="7"/>
      <c r="AA61" s="7"/>
      <c r="AB61" s="7"/>
      <c r="AC61" s="4"/>
    </row>
    <row r="62" spans="1:29" outlineLevel="1">
      <c r="A62" s="4"/>
      <c r="B62" s="4"/>
      <c r="C62" s="7"/>
      <c r="D62" s="70" t="s">
        <v>881</v>
      </c>
      <c r="E62" s="7"/>
      <c r="F62" s="7"/>
      <c r="G62" s="7"/>
      <c r="H62" s="7"/>
      <c r="I62" s="7"/>
      <c r="J62" s="7"/>
      <c r="K62" s="7"/>
      <c r="L62" s="7"/>
      <c r="M62" s="7"/>
      <c r="N62" s="7"/>
      <c r="O62" s="7"/>
      <c r="P62" s="7"/>
      <c r="Q62" s="7"/>
      <c r="R62" s="7"/>
      <c r="S62" s="7"/>
      <c r="T62" s="7"/>
      <c r="U62" s="7"/>
      <c r="V62" s="7"/>
      <c r="W62" s="7"/>
      <c r="X62" s="7"/>
      <c r="Y62" s="7"/>
      <c r="Z62" s="7"/>
      <c r="AA62" s="7"/>
      <c r="AB62" s="7"/>
      <c r="AC62" s="4"/>
    </row>
    <row r="63" spans="1:29" outlineLevel="1">
      <c r="A63" s="4"/>
      <c r="B63" s="4"/>
      <c r="C63" s="7"/>
      <c r="D63" s="93" t="s">
        <v>882</v>
      </c>
      <c r="E63" s="7"/>
      <c r="F63" s="7"/>
      <c r="G63" s="7"/>
      <c r="H63" s="7"/>
      <c r="I63" s="7"/>
      <c r="J63" s="7"/>
      <c r="K63" s="7"/>
      <c r="L63" s="7"/>
      <c r="M63" s="7"/>
      <c r="N63" s="7"/>
      <c r="O63" s="7"/>
      <c r="P63" s="7"/>
      <c r="Q63" s="7"/>
      <c r="R63" s="7"/>
      <c r="S63" s="7"/>
      <c r="T63" s="7"/>
      <c r="U63" s="7"/>
      <c r="V63" s="7"/>
      <c r="W63" s="7"/>
      <c r="X63" s="7"/>
      <c r="Y63" s="7"/>
      <c r="Z63" s="7"/>
      <c r="AA63" s="7"/>
      <c r="AB63" s="7"/>
      <c r="AC63" s="4"/>
    </row>
    <row r="64" spans="1:29" outlineLevel="1">
      <c r="A64" s="4"/>
      <c r="B64" s="4"/>
      <c r="C64" s="7"/>
      <c r="D64" s="70" t="s">
        <v>883</v>
      </c>
      <c r="E64" s="7"/>
      <c r="F64" s="7"/>
      <c r="G64" s="7"/>
      <c r="H64" s="7"/>
      <c r="I64" s="7"/>
      <c r="J64" s="7"/>
      <c r="K64" s="7"/>
      <c r="L64" s="7"/>
      <c r="M64" s="7"/>
      <c r="N64" s="7"/>
      <c r="O64" s="7"/>
      <c r="P64" s="7"/>
      <c r="Q64" s="7"/>
      <c r="R64" s="7"/>
      <c r="S64" s="7"/>
      <c r="T64" s="7"/>
      <c r="U64" s="7"/>
      <c r="V64" s="7"/>
      <c r="W64" s="7"/>
      <c r="X64" s="7"/>
      <c r="Y64" s="7"/>
      <c r="Z64" s="7"/>
      <c r="AA64" s="7"/>
      <c r="AB64" s="7"/>
      <c r="AC64" s="4"/>
    </row>
    <row r="65" spans="1:29" outlineLevel="1">
      <c r="A65" s="4"/>
      <c r="B65" s="4"/>
      <c r="C65" s="7"/>
      <c r="D65" s="1" t="s">
        <v>884</v>
      </c>
      <c r="E65" s="7"/>
      <c r="F65" s="7"/>
      <c r="G65" s="7"/>
      <c r="H65" s="7"/>
      <c r="I65" s="7"/>
      <c r="J65" s="7"/>
      <c r="K65" s="7"/>
      <c r="L65" s="7"/>
      <c r="M65" s="7"/>
      <c r="N65" s="7"/>
      <c r="O65" s="7"/>
      <c r="P65" s="7"/>
      <c r="Q65" s="7"/>
      <c r="R65" s="7"/>
      <c r="S65" s="7"/>
      <c r="T65" s="7"/>
      <c r="U65" s="7"/>
      <c r="V65" s="7"/>
      <c r="W65" s="7"/>
      <c r="X65" s="7"/>
      <c r="Y65" s="7"/>
      <c r="Z65" s="7"/>
      <c r="AA65" s="7"/>
      <c r="AB65" s="7"/>
      <c r="AC65" s="4"/>
    </row>
    <row r="66" spans="1:29" outlineLevel="1">
      <c r="A66" s="4"/>
      <c r="B66" s="4"/>
      <c r="C66" s="7"/>
      <c r="D66" s="70" t="s">
        <v>885</v>
      </c>
      <c r="E66" s="7"/>
      <c r="F66" s="7"/>
      <c r="G66" s="7"/>
      <c r="H66" s="7"/>
      <c r="I66" s="7"/>
      <c r="J66" s="7"/>
      <c r="K66" s="7"/>
      <c r="L66" s="7"/>
      <c r="M66" s="7"/>
      <c r="N66" s="7"/>
      <c r="O66" s="7"/>
      <c r="P66" s="7"/>
      <c r="Q66" s="7"/>
      <c r="R66" s="7"/>
      <c r="S66" s="7"/>
      <c r="T66" s="7"/>
      <c r="U66" s="7"/>
      <c r="V66" s="7"/>
      <c r="W66" s="7"/>
      <c r="X66" s="7"/>
      <c r="Y66" s="7"/>
      <c r="Z66" s="7"/>
      <c r="AA66" s="7"/>
      <c r="AB66" s="7"/>
      <c r="AC66" s="4"/>
    </row>
    <row r="67" spans="1:29" outlineLevel="1">
      <c r="A67" s="4"/>
      <c r="B67" s="4"/>
      <c r="C67" s="7"/>
      <c r="D67" s="70" t="s">
        <v>886</v>
      </c>
      <c r="E67" s="7"/>
      <c r="F67" s="7"/>
      <c r="G67" s="7"/>
      <c r="H67" s="7"/>
      <c r="I67" s="7"/>
      <c r="J67" s="7"/>
      <c r="K67" s="7"/>
      <c r="L67" s="7"/>
      <c r="M67" s="7"/>
      <c r="N67" s="7"/>
      <c r="O67" s="7"/>
      <c r="P67" s="7"/>
      <c r="Q67" s="7"/>
      <c r="R67" s="7"/>
      <c r="S67" s="7"/>
      <c r="T67" s="7"/>
      <c r="U67" s="7"/>
      <c r="V67" s="7"/>
      <c r="W67" s="7"/>
      <c r="X67" s="7"/>
      <c r="Y67" s="7"/>
      <c r="Z67" s="7"/>
      <c r="AA67" s="7"/>
      <c r="AB67" s="7"/>
      <c r="AC67" s="4"/>
    </row>
    <row r="68" spans="1:29" outlineLevel="1">
      <c r="A68" s="4"/>
      <c r="B68" s="4"/>
      <c r="C68" s="7"/>
      <c r="D68" s="70" t="s">
        <v>887</v>
      </c>
      <c r="E68" s="7"/>
      <c r="F68" s="7"/>
      <c r="G68" s="7"/>
      <c r="H68" s="7"/>
      <c r="I68" s="7"/>
      <c r="J68" s="7"/>
      <c r="K68" s="7"/>
      <c r="L68" s="7"/>
      <c r="M68" s="7"/>
      <c r="N68" s="7"/>
      <c r="O68" s="7"/>
      <c r="P68" s="7"/>
      <c r="Q68" s="7"/>
      <c r="R68" s="7"/>
      <c r="S68" s="7"/>
      <c r="T68" s="7"/>
      <c r="U68" s="7"/>
      <c r="V68" s="7"/>
      <c r="W68" s="7"/>
      <c r="X68" s="7"/>
      <c r="Y68" s="7"/>
      <c r="Z68" s="7"/>
      <c r="AA68" s="7"/>
      <c r="AB68" s="7"/>
      <c r="AC68" s="4"/>
    </row>
    <row r="69" spans="1:29" outlineLevel="1">
      <c r="A69" s="4"/>
      <c r="B69" s="4"/>
      <c r="C69" s="7"/>
      <c r="D69" s="1" t="s">
        <v>888</v>
      </c>
      <c r="E69" s="7"/>
      <c r="F69" s="7"/>
      <c r="G69" s="7"/>
      <c r="H69" s="7"/>
      <c r="I69" s="7"/>
      <c r="J69" s="7"/>
      <c r="K69" s="7"/>
      <c r="L69" s="7"/>
      <c r="M69" s="7"/>
      <c r="N69" s="7"/>
      <c r="O69" s="7"/>
      <c r="P69" s="7"/>
      <c r="Q69" s="7"/>
      <c r="R69" s="7"/>
      <c r="S69" s="7"/>
      <c r="T69" s="7"/>
      <c r="U69" s="7"/>
      <c r="V69" s="7"/>
      <c r="W69" s="7"/>
      <c r="X69" s="7"/>
      <c r="Y69" s="7"/>
      <c r="Z69" s="7"/>
      <c r="AA69" s="7"/>
      <c r="AB69" s="7"/>
      <c r="AC69" s="4"/>
    </row>
    <row r="70" spans="1:29">
      <c r="A70" s="4"/>
      <c r="B70" s="4"/>
      <c r="C70" s="4"/>
      <c r="D70" s="4"/>
      <c r="E70" s="4"/>
      <c r="F70" s="4"/>
      <c r="G70" s="4"/>
      <c r="H70" s="4"/>
      <c r="I70" s="4"/>
      <c r="J70" s="4"/>
      <c r="K70" s="4"/>
      <c r="L70" s="4"/>
      <c r="M70" s="4"/>
      <c r="N70" s="4"/>
      <c r="O70" s="4"/>
      <c r="P70" s="4"/>
      <c r="Q70" s="4"/>
      <c r="R70" s="4"/>
      <c r="S70" s="4"/>
      <c r="T70" s="4"/>
      <c r="U70" s="4"/>
      <c r="V70" s="4"/>
      <c r="W70" s="4"/>
      <c r="X70" s="4"/>
      <c r="Y70" s="4"/>
      <c r="Z70" s="4"/>
      <c r="AA70" s="4"/>
      <c r="AB70" s="4"/>
      <c r="AC70" s="4"/>
    </row>
  </sheetData>
  <mergeCells count="2">
    <mergeCell ref="C2:AB2"/>
    <mergeCell ref="C3:AB3"/>
  </mergeCells>
  <phoneticPr fontId="65"/>
  <conditionalFormatting sqref="J51:J53">
    <cfRule type="iconSet" priority="26">
      <iconSet iconSet="4TrafficLights">
        <cfvo type="percent" val="0"/>
        <cfvo type="percent" val="25"/>
        <cfvo type="percent" val="50"/>
        <cfvo type="percent" val="75"/>
      </iconSet>
    </cfRule>
  </conditionalFormatting>
  <conditionalFormatting sqref="K42:K50">
    <cfRule type="containsText" dxfId="567" priority="13" operator="containsText" text="Pass">
      <formula>NOT(ISERROR(SEARCH("Pass",K42)))</formula>
    </cfRule>
    <cfRule type="containsText" dxfId="566" priority="14" operator="containsText" text="Fail">
      <formula>NOT(ISERROR(SEARCH("Fail",K42)))</formula>
    </cfRule>
  </conditionalFormatting>
  <conditionalFormatting sqref="L42:Q50">
    <cfRule type="containsText" dxfId="565" priority="11" operator="containsText" text="Exceeded baseline thresholds">
      <formula>NOT(ISERROR(SEARCH("Exceeded baseline thresholds",L42)))</formula>
    </cfRule>
    <cfRule type="containsText" dxfId="564" priority="12" operator="containsText" text="Within baseline parameters">
      <formula>NOT(ISERROR(SEARCH("Within baseline parameters",L42)))</formula>
    </cfRule>
  </conditionalFormatting>
  <hyperlinks>
    <hyperlink ref="D63" r:id="rId1" location="continuous-validation-and-testing" display="https://learn.microsoft.com/en-us/azure/well-architected/mission-critical/mission-critical-deployment-testing - continuous-validation-and-testing" xr:uid="{7181C1C0-26C3-4140-B7B9-8BE7E4BEBF9F}"/>
    <hyperlink ref="D62" r:id="rId2" display="https://learn.microsoft.com/en-us/azure/well-architected/resiliency/test-checklist?source=recommendations" xr:uid="{6FAAEA83-A35F-4A8A-A201-CB188F1CA5EA}"/>
    <hyperlink ref="D67" r:id="rId3" display="https://learn.microsoft.com/en-us/azure/well-architected/resiliency/testing" xr:uid="{6F14E8BF-AE94-449D-B142-DD4DFC57F409}"/>
    <hyperlink ref="D60" r:id="rId4" display="https://learn.microsoft.com/en-us/azure/well-architected/resiliency/backup-and-recovery" xr:uid="{3E0032EA-A40C-4319-B110-1BE4B6B8E252}"/>
    <hyperlink ref="D68" r:id="rId5" display="https://learn.microsoft.com/en-us/azure/well-architected/resiliency/chaos-engineering" xr:uid="{00008199-8FB1-4EE6-8628-7181E8AC61F8}"/>
    <hyperlink ref="D61" r:id="rId6" display="https://learn.microsoft.com/en-us/azure/well-architected/resiliency/test-best-practices" xr:uid="{EB4EE5E0-84F2-48D5-BAB3-7E801A06F553}"/>
    <hyperlink ref="D64" r:id="rId7" display="https://learn.microsoft.com/en-us/azure/well-architected/resiliency/monitor-checklist" xr:uid="{66149EB0-7052-4CF7-B34E-53942EFF8BD6}"/>
    <hyperlink ref="D66" r:id="rId8" display="https://learn.microsoft.com/en-us/azure/well-architected/resiliency/reliability-patterns" xr:uid="{89D2362C-0077-48AD-8A50-43060073B150}"/>
    <hyperlink ref="D69" r:id="rId9" location="chaos-studio-scenarios" display="https://learn.microsoft.com/en-US/azure/chaos-studio/chaos-studio-overview - chaos-studio-scenarios" xr:uid="{1A7029A8-9028-4F30-9F89-CE5EE1E14733}"/>
    <hyperlink ref="U46" r:id="rId10" xr:uid="{BB69119B-098D-456A-BB34-413CAFADC3F5}"/>
    <hyperlink ref="U47" r:id="rId11" xr:uid="{02E609A0-7A50-49EB-9C62-3294EAB4B800}"/>
    <hyperlink ref="U48" r:id="rId12" location="cloud-ddos" display="RedWorlf" xr:uid="{5D4FC385-F134-4373-BAF3-9B0550EB0D96}"/>
    <hyperlink ref="AA46" r:id="rId13" xr:uid="{5F803DCB-3BBC-45BD-9DE4-FB9AA4EDD78C}"/>
    <hyperlink ref="AA47" r:id="rId14" xr:uid="{9188E702-938C-4CD0-9FE3-9CF6DAE25B28}"/>
    <hyperlink ref="AA48" r:id="rId15" xr:uid="{021A06C2-0E49-4747-B359-12EE9F012683}"/>
    <hyperlink ref="D65" r:id="rId16" display="https://learn.microsoft.com/en-us/azure/security/fundamentals/pen-testing" xr:uid="{380BC249-3BD2-404A-A890-FB639A466112}"/>
    <hyperlink ref="E23" r:id="rId17" display="https://learn.microsoft.com/en-us/azure/architecture/web-apps/app-service/architectures/multi-region" xr:uid="{6A34E242-7B3C-4228-8934-6BFF06294392}"/>
    <hyperlink ref="Z44" location="'4. Test Plan (Failover)'!Jul_day" display="'4. Test Plan (Failover)'!Jul_day" xr:uid="{FC5A8A7F-6990-4261-A2E6-DB5FB3A2CF2B}"/>
    <hyperlink ref="Z45" location="'4. Test Plan (Recover)'!Aug_day" display="&lt;link&gt;" xr:uid="{8B7BB016-E46E-49D5-9C80-6AE480AFB875}"/>
    <hyperlink ref="Z49" location="'4. Test Plan (UAT)'!A1" display="Test Plan (UAT)" xr:uid="{DB095F9F-3FE8-410E-866F-08A387F24011}"/>
  </hyperlinks>
  <pageMargins left="0.7" right="0.7" top="0.75" bottom="0.75" header="0.3" footer="0.3"/>
  <pageSetup orientation="portrait" r:id="rId18"/>
  <drawing r:id="rId19"/>
  <tableParts count="1">
    <tablePart r:id="rId20"/>
  </tableParts>
  <extLst>
    <ext xmlns:x14="http://schemas.microsoft.com/office/spreadsheetml/2009/9/main" uri="{78C0D931-6437-407d-A8EE-F0AAD7539E65}">
      <x14:conditionalFormattings>
        <x14:conditionalFormatting xmlns:xm="http://schemas.microsoft.com/office/excel/2006/main">
          <x14:cfRule type="cellIs" priority="1" operator="equal" id="{C904E1B1-2C91-4C7B-9928-8680D0468FC3}">
            <xm:f>Data!$L$13</xm:f>
            <x14:dxf>
              <font>
                <color theme="0"/>
              </font>
              <fill>
                <patternFill>
                  <bgColor rgb="FFF25022"/>
                </patternFill>
              </fill>
            </x14:dxf>
          </x14:cfRule>
          <x14:cfRule type="cellIs" priority="2" operator="equal" id="{69A1D1E5-2048-431E-8F3C-72AB302B72C4}">
            <xm:f>Data!$L$12</xm:f>
            <x14:dxf>
              <font>
                <color theme="0"/>
              </font>
              <fill>
                <patternFill>
                  <bgColor rgb="FFF25022"/>
                </patternFill>
              </fill>
            </x14:dxf>
          </x14:cfRule>
          <x14:cfRule type="cellIs" priority="3" operator="equal" id="{3737B07C-1250-4EB1-8D1A-54898D8A4AC5}">
            <xm:f>Data!$L$11</xm:f>
            <x14:dxf>
              <font>
                <color theme="0"/>
              </font>
              <fill>
                <patternFill>
                  <bgColor rgb="FFF25022"/>
                </patternFill>
              </fill>
            </x14:dxf>
          </x14:cfRule>
          <x14:cfRule type="cellIs" priority="4" operator="equal" id="{C3330835-9D43-4584-85B9-90BD5A905810}">
            <xm:f>Data!$L$10</xm:f>
            <x14:dxf>
              <font>
                <color theme="0"/>
              </font>
              <fill>
                <patternFill>
                  <bgColor rgb="FFF25022"/>
                </patternFill>
              </fill>
            </x14:dxf>
          </x14:cfRule>
          <x14:cfRule type="cellIs" priority="5" operator="equal" id="{41088F23-1E2E-43DB-97E8-615CAE72499C}">
            <xm:f>Data!$L$6</xm:f>
            <x14:dxf>
              <font>
                <color theme="0"/>
              </font>
              <fill>
                <patternFill>
                  <bgColor rgb="FFF25022"/>
                </patternFill>
              </fill>
            </x14:dxf>
          </x14:cfRule>
          <x14:cfRule type="cellIs" priority="6" operator="equal" id="{D83914E0-AADE-4037-A3B5-818C3E096AF9}">
            <xm:f>Data!$L$9</xm:f>
            <x14:dxf>
              <font>
                <color theme="1"/>
              </font>
              <fill>
                <patternFill>
                  <bgColor rgb="FF7FBA00"/>
                </patternFill>
              </fill>
            </x14:dxf>
          </x14:cfRule>
          <x14:cfRule type="cellIs" priority="7" operator="equal" id="{279566BC-40EC-447C-B5C0-6A0BFA90BEDA}">
            <xm:f>Data!$L$8</xm:f>
            <x14:dxf>
              <font>
                <color theme="1"/>
              </font>
              <fill>
                <patternFill>
                  <bgColor rgb="FF00A4EF"/>
                </patternFill>
              </fill>
            </x14:dxf>
          </x14:cfRule>
          <x14:cfRule type="cellIs" priority="8" operator="equal" id="{D4BF4364-7E1F-48C7-8B40-02E05937B0B4}">
            <xm:f>Data!$L$7</xm:f>
            <x14:dxf>
              <font>
                <color theme="1"/>
              </font>
              <fill>
                <patternFill>
                  <bgColor rgb="FFFFB900"/>
                </patternFill>
              </fill>
            </x14:dxf>
          </x14:cfRule>
          <x14:cfRule type="cellIs" priority="9" operator="equal" id="{F70D8221-65F6-43D2-AB2C-9B87E50686A5}">
            <xm:f>Data!$L$5</xm:f>
            <x14:dxf>
              <font>
                <color theme="0"/>
              </font>
              <fill>
                <patternFill>
                  <bgColor rgb="FFF25022"/>
                </patternFill>
              </fill>
            </x14:dxf>
          </x14:cfRule>
          <x14:cfRule type="cellIs" priority="10" operator="equal" id="{B270897D-6B0F-4EC3-BF9E-3AA02BBE330F}">
            <xm:f>Data!$L$6+Data!$L$14</xm:f>
            <x14:dxf>
              <font>
                <color theme="0"/>
              </font>
              <fill>
                <patternFill>
                  <bgColor rgb="FF747474"/>
                </patternFill>
              </fill>
            </x14:dxf>
          </x14:cfRule>
          <xm:sqref>E16:E17</xm:sqref>
        </x14:conditionalFormatting>
      </x14:conditionalFormattings>
    </ext>
    <ext xmlns:x14="http://schemas.microsoft.com/office/spreadsheetml/2009/9/main" uri="{CCE6A557-97BC-4b89-ADB6-D9C93CAAB3DF}">
      <x14:dataValidations xmlns:xm="http://schemas.microsoft.com/office/excel/2006/main" count="6">
        <x14:dataValidation type="list" allowBlank="1" showInputMessage="1" showErrorMessage="1" xr:uid="{9047121F-74A8-45DA-AFB7-60BE4669383D}">
          <x14:formula1>
            <xm:f>Data!$F$31:$F$33</xm:f>
          </x14:formula1>
          <xm:sqref>R51:S53 S42:T50</xm:sqref>
        </x14:dataValidation>
        <x14:dataValidation type="list" allowBlank="1" showInputMessage="1" showErrorMessage="1" xr:uid="{7306C10E-ABC5-4050-BCB5-F9C78CE8D14E}">
          <x14:formula1>
            <xm:f>Data!$L$35:$L$37</xm:f>
          </x14:formula1>
          <xm:sqref>H42:H50</xm:sqref>
        </x14:dataValidation>
        <x14:dataValidation type="list" allowBlank="1" showInputMessage="1" showErrorMessage="1" xr:uid="{9CA8EA5D-BADF-4346-96D5-09A41F04DF0C}">
          <x14:formula1>
            <xm:f>Data!$J$16:$J$24</xm:f>
          </x14:formula1>
          <xm:sqref>I42:I50</xm:sqref>
        </x14:dataValidation>
        <x14:dataValidation type="list" allowBlank="1" showInputMessage="1" showErrorMessage="1" xr:uid="{04324A5E-2F70-46A4-84F5-F990725E36E3}">
          <x14:formula1>
            <xm:f>Data!$L$31:$L$32</xm:f>
          </x14:formula1>
          <xm:sqref>G42:G50</xm:sqref>
        </x14:dataValidation>
        <x14:dataValidation type="list" allowBlank="1" showInputMessage="1" showErrorMessage="1" xr:uid="{18E36BD5-0C79-4AFD-A376-5EDB32FB82E2}">
          <x14:formula1>
            <xm:f>Data!$H$18:$H$19</xm:f>
          </x14:formula1>
          <xm:sqref>K42:K50</xm:sqref>
        </x14:dataValidation>
        <x14:dataValidation type="list" allowBlank="1" showInputMessage="1" showErrorMessage="1" xr:uid="{577EAB32-DB4B-4D4D-8D61-32488C4A87D7}">
          <x14:formula1>
            <xm:f>Data!$H$26:$H$27</xm:f>
          </x14:formula1>
          <xm:sqref>L42:L50</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BB6DC5-0128-4024-ADDB-E4B2A9D6709D}">
  <sheetPr>
    <tabColor rgb="FF00A4EF"/>
  </sheetPr>
  <dimension ref="A1:AC147"/>
  <sheetViews>
    <sheetView showGridLines="0" showRowColHeaders="0" zoomScale="85" zoomScaleNormal="85" workbookViewId="0">
      <selection activeCell="Q56" sqref="Q56"/>
    </sheetView>
  </sheetViews>
  <sheetFormatPr defaultColWidth="0" defaultRowHeight="14.45" customHeight="1" zeroHeight="1" outlineLevelRow="1"/>
  <cols>
    <col min="1" max="2" width="5.85546875" customWidth="1"/>
    <col min="3" max="3" width="3.85546875" customWidth="1"/>
    <col min="4" max="4" width="21.42578125" bestFit="1" customWidth="1"/>
    <col min="5" max="5" width="57.140625" bestFit="1" customWidth="1"/>
    <col min="6" max="6" width="19.85546875" bestFit="1" customWidth="1"/>
    <col min="7" max="7" width="14.85546875" bestFit="1" customWidth="1"/>
    <col min="8" max="8" width="28.42578125" customWidth="1"/>
    <col min="9" max="28" width="8.85546875" customWidth="1"/>
    <col min="29" max="29" width="3.85546875" customWidth="1"/>
    <col min="30" max="16384" width="8.85546875" hidden="1"/>
  </cols>
  <sheetData>
    <row r="1" spans="1:29">
      <c r="A1" s="4"/>
      <c r="B1" s="4"/>
      <c r="C1" s="4"/>
      <c r="D1" s="4"/>
      <c r="E1" s="4"/>
      <c r="F1" s="4"/>
      <c r="G1" s="4"/>
      <c r="H1" s="4"/>
      <c r="I1" s="4"/>
      <c r="J1" s="4"/>
      <c r="K1" s="4"/>
      <c r="L1" s="4"/>
      <c r="M1" s="4"/>
      <c r="N1" s="4"/>
      <c r="O1" s="4"/>
      <c r="P1" s="4"/>
      <c r="Q1" s="4"/>
      <c r="R1" s="4"/>
      <c r="S1" s="4"/>
      <c r="T1" s="4"/>
      <c r="U1" s="4"/>
      <c r="V1" s="4"/>
      <c r="W1" s="4"/>
      <c r="X1" s="4"/>
      <c r="Y1" s="4"/>
      <c r="Z1" s="4"/>
      <c r="AA1" s="4"/>
      <c r="AB1" s="4"/>
      <c r="AC1" s="4"/>
    </row>
    <row r="2" spans="1:29" ht="21">
      <c r="A2" s="4"/>
      <c r="B2" s="4"/>
      <c r="C2" s="618" t="s">
        <v>1572</v>
      </c>
      <c r="D2" s="618"/>
      <c r="E2" s="618"/>
      <c r="F2" s="618"/>
      <c r="G2" s="618"/>
      <c r="H2" s="618"/>
      <c r="I2" s="618"/>
      <c r="J2" s="618"/>
      <c r="K2" s="618"/>
      <c r="L2" s="618"/>
      <c r="M2" s="618"/>
      <c r="N2" s="618"/>
      <c r="O2" s="618"/>
      <c r="P2" s="618"/>
      <c r="Q2" s="618"/>
      <c r="R2" s="618"/>
      <c r="S2" s="618"/>
      <c r="T2" s="618"/>
      <c r="U2" s="618"/>
      <c r="V2" s="618"/>
      <c r="W2" s="618"/>
      <c r="X2" s="618"/>
      <c r="Y2" s="618"/>
      <c r="Z2" s="618"/>
      <c r="AA2" s="618"/>
      <c r="AB2" s="618"/>
      <c r="AC2" s="4"/>
    </row>
    <row r="3" spans="1:29" ht="14.45" customHeight="1">
      <c r="A3" s="4"/>
      <c r="B3" s="4"/>
      <c r="C3" s="646" t="s">
        <v>1573</v>
      </c>
      <c r="D3" s="646"/>
      <c r="E3" s="646"/>
      <c r="F3" s="646"/>
      <c r="G3" s="646"/>
      <c r="H3" s="646"/>
      <c r="I3" s="646"/>
      <c r="J3" s="646"/>
      <c r="K3" s="646"/>
      <c r="L3" s="646"/>
      <c r="M3" s="646"/>
      <c r="N3" s="646"/>
      <c r="O3" s="646"/>
      <c r="P3" s="646"/>
      <c r="Q3" s="646"/>
      <c r="R3" s="646"/>
      <c r="S3" s="646"/>
      <c r="T3" s="646"/>
      <c r="U3" s="646"/>
      <c r="V3" s="646"/>
      <c r="W3" s="646"/>
      <c r="X3" s="646"/>
      <c r="Y3" s="646"/>
      <c r="Z3" s="646"/>
      <c r="AA3" s="646"/>
      <c r="AB3" s="646"/>
      <c r="AC3" s="4"/>
    </row>
    <row r="4" spans="1:29">
      <c r="A4" s="4"/>
      <c r="B4" s="4"/>
      <c r="C4" s="4"/>
      <c r="D4" s="234"/>
      <c r="E4" s="234"/>
      <c r="F4" s="234"/>
      <c r="G4" s="234"/>
      <c r="H4" s="234"/>
      <c r="I4" s="234"/>
      <c r="J4" s="234"/>
      <c r="K4" s="234"/>
      <c r="L4" s="234"/>
      <c r="M4" s="234"/>
      <c r="N4" s="234"/>
      <c r="O4" s="234"/>
      <c r="P4" s="234"/>
      <c r="Q4" s="234"/>
      <c r="R4" s="234"/>
      <c r="S4" s="234"/>
      <c r="T4" s="234"/>
      <c r="U4" s="234"/>
      <c r="V4" s="234"/>
      <c r="W4" s="234"/>
      <c r="X4" s="234"/>
      <c r="Y4" s="234"/>
      <c r="Z4" s="234"/>
      <c r="AA4" s="234"/>
      <c r="AB4" s="234"/>
      <c r="AC4" s="4"/>
    </row>
    <row r="5" spans="1:29">
      <c r="A5" s="4"/>
      <c r="B5" s="4"/>
      <c r="C5" s="7"/>
      <c r="D5" s="54"/>
      <c r="E5" s="54"/>
      <c r="F5" s="54"/>
      <c r="G5" s="54"/>
      <c r="H5" s="54"/>
      <c r="I5" s="54"/>
      <c r="J5" s="54"/>
      <c r="K5" s="54"/>
      <c r="L5" s="54"/>
      <c r="M5" s="54"/>
      <c r="N5" s="54"/>
      <c r="O5" s="54"/>
      <c r="P5" s="54"/>
      <c r="Q5" s="54"/>
      <c r="R5" s="54"/>
      <c r="S5" s="54"/>
      <c r="T5" s="54"/>
      <c r="U5" s="54"/>
      <c r="V5" s="54"/>
      <c r="W5" s="54"/>
      <c r="X5" s="54"/>
      <c r="Y5" s="54"/>
      <c r="Z5" s="54"/>
      <c r="AA5" s="54"/>
      <c r="AB5" s="54"/>
      <c r="AC5" s="4"/>
    </row>
    <row r="6" spans="1:29">
      <c r="A6" s="4"/>
      <c r="B6" s="4"/>
      <c r="C6" s="7"/>
      <c r="D6" s="107" t="s">
        <v>890</v>
      </c>
      <c r="E6" s="244" t="s">
        <v>891</v>
      </c>
      <c r="F6" s="241"/>
      <c r="G6" s="241"/>
      <c r="H6" s="54"/>
      <c r="I6" s="54"/>
      <c r="J6" s="54"/>
      <c r="K6" s="54"/>
      <c r="L6" s="54"/>
      <c r="M6" s="54"/>
      <c r="N6" s="54"/>
      <c r="O6" s="54"/>
      <c r="P6" s="54"/>
      <c r="Q6" s="54"/>
      <c r="R6" s="54"/>
      <c r="S6" s="54"/>
      <c r="T6" s="54"/>
      <c r="U6" s="54"/>
      <c r="V6" s="54"/>
      <c r="W6" s="54"/>
      <c r="X6" s="54"/>
      <c r="Y6" s="54"/>
      <c r="Z6" s="54"/>
      <c r="AA6" s="54"/>
      <c r="AB6" s="54"/>
      <c r="AC6" s="4"/>
    </row>
    <row r="7" spans="1:29">
      <c r="A7" s="4"/>
      <c r="B7" s="4"/>
      <c r="C7" s="7"/>
      <c r="D7" s="107" t="s">
        <v>892</v>
      </c>
      <c r="E7" s="244" t="s">
        <v>893</v>
      </c>
      <c r="F7" s="241"/>
      <c r="G7" s="241"/>
      <c r="H7" s="54"/>
      <c r="I7" s="54"/>
      <c r="J7" s="54"/>
      <c r="K7" s="54"/>
      <c r="L7" s="54"/>
      <c r="M7" s="54"/>
      <c r="N7" s="54"/>
      <c r="O7" s="54"/>
      <c r="P7" s="54"/>
      <c r="Q7" s="54"/>
      <c r="R7" s="54"/>
      <c r="S7" s="54"/>
      <c r="T7" s="54"/>
      <c r="U7" s="54"/>
      <c r="V7" s="54"/>
      <c r="W7" s="54"/>
      <c r="X7" s="54"/>
      <c r="Y7" s="54"/>
      <c r="Z7" s="54"/>
      <c r="AA7" s="54"/>
      <c r="AB7" s="54"/>
      <c r="AC7" s="4"/>
    </row>
    <row r="8" spans="1:29">
      <c r="A8" s="4"/>
      <c r="B8" s="4"/>
      <c r="C8" s="7"/>
      <c r="D8" s="107" t="s">
        <v>117</v>
      </c>
      <c r="E8" s="244" t="s">
        <v>894</v>
      </c>
      <c r="F8" s="241"/>
      <c r="G8" s="241"/>
      <c r="H8" s="54"/>
      <c r="I8" s="54"/>
      <c r="J8" s="54"/>
      <c r="K8" s="54"/>
      <c r="L8" s="54"/>
      <c r="M8" s="54"/>
      <c r="N8" s="54"/>
      <c r="O8" s="7"/>
      <c r="P8" s="54"/>
      <c r="Q8" s="54"/>
      <c r="R8" s="54"/>
      <c r="S8" s="54"/>
      <c r="T8" s="54"/>
      <c r="U8" s="54"/>
      <c r="V8" s="54"/>
      <c r="W8" s="54"/>
      <c r="X8" s="54"/>
      <c r="Y8" s="54"/>
      <c r="Z8" s="54"/>
      <c r="AA8" s="54"/>
      <c r="AB8" s="54"/>
      <c r="AC8" s="4"/>
    </row>
    <row r="9" spans="1:29">
      <c r="A9" s="4"/>
      <c r="B9" s="4"/>
      <c r="C9" s="7"/>
      <c r="D9" s="107" t="s">
        <v>138</v>
      </c>
      <c r="E9" s="244" t="s">
        <v>834</v>
      </c>
      <c r="F9" s="241"/>
      <c r="G9" s="241"/>
      <c r="H9" s="54"/>
      <c r="I9" s="54"/>
      <c r="J9" s="54"/>
      <c r="K9" s="54"/>
      <c r="L9" s="54"/>
      <c r="M9" s="54"/>
      <c r="N9" s="54"/>
      <c r="O9" s="54"/>
      <c r="P9" s="54"/>
      <c r="Q9" s="54"/>
      <c r="R9" s="54"/>
      <c r="S9" s="54"/>
      <c r="T9" s="54"/>
      <c r="U9" s="54"/>
      <c r="V9" s="54"/>
      <c r="W9" s="54"/>
      <c r="X9" s="54"/>
      <c r="Y9" s="54"/>
      <c r="Z9" s="54"/>
      <c r="AA9" s="54"/>
      <c r="AB9" s="54"/>
      <c r="AC9" s="4"/>
    </row>
    <row r="10" spans="1:29">
      <c r="A10" s="4"/>
      <c r="B10" s="4"/>
      <c r="C10" s="7"/>
      <c r="D10" s="107" t="s">
        <v>822</v>
      </c>
      <c r="E10" s="244"/>
      <c r="F10" s="241"/>
      <c r="G10" s="241"/>
      <c r="H10" s="54"/>
      <c r="I10" s="54"/>
      <c r="J10" s="54"/>
      <c r="K10" s="54"/>
      <c r="L10" s="54"/>
      <c r="M10" s="54"/>
      <c r="N10" s="54"/>
      <c r="O10" s="54"/>
      <c r="P10" s="54"/>
      <c r="Q10" s="54"/>
      <c r="R10" s="54"/>
      <c r="S10" s="54"/>
      <c r="T10" s="54"/>
      <c r="U10" s="54"/>
      <c r="V10" s="54"/>
      <c r="W10" s="54"/>
      <c r="X10" s="54"/>
      <c r="Y10" s="54"/>
      <c r="Z10" s="54"/>
      <c r="AA10" s="54"/>
      <c r="AB10" s="54"/>
      <c r="AC10" s="4"/>
    </row>
    <row r="11" spans="1:29">
      <c r="A11" s="4"/>
      <c r="B11" s="4"/>
      <c r="C11" s="7"/>
      <c r="D11" s="107" t="s">
        <v>895</v>
      </c>
      <c r="E11" s="244"/>
      <c r="F11" s="241"/>
      <c r="G11" s="241"/>
      <c r="H11" s="54"/>
      <c r="I11" s="54"/>
      <c r="J11" s="54"/>
      <c r="K11" s="54"/>
      <c r="L11" s="54"/>
      <c r="M11" s="54"/>
      <c r="N11" s="54"/>
      <c r="O11" s="54"/>
      <c r="P11" s="54"/>
      <c r="Q11" s="54"/>
      <c r="R11" s="54"/>
      <c r="S11" s="54"/>
      <c r="T11" s="54"/>
      <c r="U11" s="54"/>
      <c r="V11" s="54"/>
      <c r="W11" s="54"/>
      <c r="X11" s="54"/>
      <c r="Y11" s="54"/>
      <c r="Z11" s="54"/>
      <c r="AA11" s="54"/>
      <c r="AB11" s="54"/>
      <c r="AC11" s="4"/>
    </row>
    <row r="12" spans="1:29">
      <c r="A12" s="4"/>
      <c r="B12" s="4"/>
      <c r="C12" s="7"/>
      <c r="D12" s="107" t="s">
        <v>896</v>
      </c>
      <c r="E12" s="244"/>
      <c r="F12" s="241"/>
      <c r="G12" s="241"/>
      <c r="H12" s="54"/>
      <c r="I12" s="54"/>
      <c r="J12" s="54"/>
      <c r="K12" s="54"/>
      <c r="L12" s="54"/>
      <c r="M12" s="54"/>
      <c r="N12" s="54"/>
      <c r="O12" s="54"/>
      <c r="P12" s="54"/>
      <c r="Q12" s="54"/>
      <c r="R12" s="54"/>
      <c r="S12" s="54"/>
      <c r="T12" s="54"/>
      <c r="U12" s="54"/>
      <c r="V12" s="54"/>
      <c r="W12" s="54"/>
      <c r="X12" s="54"/>
      <c r="Y12" s="54"/>
      <c r="Z12" s="54"/>
      <c r="AA12" s="54"/>
      <c r="AB12" s="54"/>
      <c r="AC12" s="4"/>
    </row>
    <row r="13" spans="1:29">
      <c r="A13" s="4"/>
      <c r="B13" s="4"/>
      <c r="C13" s="7"/>
      <c r="D13" s="107" t="s">
        <v>477</v>
      </c>
      <c r="E13" s="244"/>
      <c r="F13" s="241"/>
      <c r="G13" s="241"/>
      <c r="H13" s="54"/>
      <c r="I13" s="54"/>
      <c r="J13" s="54"/>
      <c r="K13" s="54"/>
      <c r="L13" s="54"/>
      <c r="M13" s="54"/>
      <c r="N13" s="54"/>
      <c r="O13" s="54"/>
      <c r="P13" s="54"/>
      <c r="Q13" s="54"/>
      <c r="R13" s="54"/>
      <c r="S13" s="54"/>
      <c r="T13" s="54"/>
      <c r="U13" s="54"/>
      <c r="V13" s="54"/>
      <c r="W13" s="54"/>
      <c r="X13" s="54"/>
      <c r="Y13" s="54"/>
      <c r="Z13" s="54"/>
      <c r="AA13" s="54"/>
      <c r="AB13" s="54"/>
      <c r="AC13" s="4"/>
    </row>
    <row r="14" spans="1:29">
      <c r="A14" s="4"/>
      <c r="B14" s="4"/>
      <c r="C14" s="7"/>
      <c r="D14" s="107" t="s">
        <v>478</v>
      </c>
      <c r="E14" s="244"/>
      <c r="F14" s="241"/>
      <c r="G14" s="241"/>
      <c r="H14" s="54"/>
      <c r="I14" s="54"/>
      <c r="J14" s="54"/>
      <c r="K14" s="54"/>
      <c r="L14" s="54"/>
      <c r="M14" s="54"/>
      <c r="N14" s="54"/>
      <c r="O14" s="54"/>
      <c r="P14" s="54"/>
      <c r="Q14" s="54"/>
      <c r="R14" s="54"/>
      <c r="S14" s="54"/>
      <c r="T14" s="54"/>
      <c r="U14" s="54"/>
      <c r="V14" s="54"/>
      <c r="W14" s="54"/>
      <c r="X14" s="54"/>
      <c r="Y14" s="54"/>
      <c r="Z14" s="54"/>
      <c r="AA14" s="54"/>
      <c r="AB14" s="54"/>
      <c r="AC14" s="4"/>
    </row>
    <row r="15" spans="1:29">
      <c r="A15" s="4"/>
      <c r="B15" s="4"/>
      <c r="C15" s="7"/>
      <c r="D15" s="107" t="s">
        <v>897</v>
      </c>
      <c r="E15" s="244" t="s">
        <v>317</v>
      </c>
      <c r="F15" s="241"/>
      <c r="G15" s="241"/>
      <c r="H15" s="54"/>
      <c r="I15" s="54"/>
      <c r="J15" s="54"/>
      <c r="K15" s="54"/>
      <c r="L15" s="54"/>
      <c r="M15" s="54"/>
      <c r="N15" s="54"/>
      <c r="O15" s="54"/>
      <c r="P15" s="54"/>
      <c r="Q15" s="54"/>
      <c r="R15" s="54"/>
      <c r="S15" s="54"/>
      <c r="T15" s="54"/>
      <c r="U15" s="54"/>
      <c r="V15" s="54"/>
      <c r="W15" s="54"/>
      <c r="X15" s="54"/>
      <c r="Y15" s="54"/>
      <c r="Z15" s="54"/>
      <c r="AA15" s="54"/>
      <c r="AB15" s="54"/>
      <c r="AC15" s="4"/>
    </row>
    <row r="16" spans="1:29">
      <c r="A16" s="4"/>
      <c r="B16" s="4"/>
      <c r="C16" s="7"/>
      <c r="D16" s="107" t="s">
        <v>267</v>
      </c>
      <c r="E16" s="245" t="s">
        <v>328</v>
      </c>
      <c r="F16" s="242"/>
      <c r="G16" s="242"/>
      <c r="H16" s="54"/>
      <c r="I16" s="54"/>
      <c r="J16" s="54"/>
      <c r="K16" s="54"/>
      <c r="L16" s="54"/>
      <c r="M16" s="54"/>
      <c r="N16" s="54"/>
      <c r="O16" s="54"/>
      <c r="P16" s="54"/>
      <c r="Q16" s="54"/>
      <c r="R16" s="54"/>
      <c r="S16" s="54"/>
      <c r="T16" s="54"/>
      <c r="U16" s="54"/>
      <c r="V16" s="54"/>
      <c r="W16" s="54"/>
      <c r="X16" s="54"/>
      <c r="Y16" s="54"/>
      <c r="Z16" s="54"/>
      <c r="AA16" s="54"/>
      <c r="AB16" s="54"/>
      <c r="AC16" s="4"/>
    </row>
    <row r="17" spans="1:29">
      <c r="A17" s="4"/>
      <c r="B17" s="4"/>
      <c r="C17" s="7"/>
      <c r="D17" s="107" t="s">
        <v>898</v>
      </c>
      <c r="E17" s="372" t="s">
        <v>899</v>
      </c>
      <c r="F17" s="242"/>
      <c r="G17" s="242"/>
      <c r="H17" s="54"/>
      <c r="I17" s="54"/>
      <c r="J17" s="54"/>
      <c r="K17" s="54"/>
      <c r="L17" s="54"/>
      <c r="M17" s="54"/>
      <c r="N17" s="54"/>
      <c r="O17" s="54"/>
      <c r="P17" s="54"/>
      <c r="Q17" s="54"/>
      <c r="R17" s="54"/>
      <c r="S17" s="54"/>
      <c r="T17" s="54"/>
      <c r="U17" s="54"/>
      <c r="V17" s="54"/>
      <c r="W17" s="54"/>
      <c r="X17" s="54"/>
      <c r="Y17" s="54"/>
      <c r="Z17" s="54"/>
      <c r="AA17" s="54"/>
      <c r="AB17" s="54"/>
      <c r="AC17" s="4"/>
    </row>
    <row r="18" spans="1:29">
      <c r="A18" s="4"/>
      <c r="B18" s="4"/>
      <c r="C18" s="7"/>
      <c r="D18" s="107" t="s">
        <v>900</v>
      </c>
      <c r="E18" s="246">
        <v>45020</v>
      </c>
      <c r="F18" s="243"/>
      <c r="G18" s="243"/>
      <c r="H18" s="54"/>
      <c r="I18" s="54"/>
      <c r="J18" s="54"/>
      <c r="K18" s="54"/>
      <c r="L18" s="54"/>
      <c r="M18" s="54"/>
      <c r="N18" s="54"/>
      <c r="O18" s="54"/>
      <c r="P18" s="54"/>
      <c r="Q18" s="54"/>
      <c r="R18" s="54"/>
      <c r="S18" s="54"/>
      <c r="T18" s="54"/>
      <c r="U18" s="54"/>
      <c r="V18" s="54"/>
      <c r="W18" s="54"/>
      <c r="X18" s="54"/>
      <c r="Y18" s="54"/>
      <c r="Z18" s="54"/>
      <c r="AA18" s="54"/>
      <c r="AB18" s="54"/>
      <c r="AC18" s="4"/>
    </row>
    <row r="19" spans="1:29">
      <c r="A19" s="4"/>
      <c r="B19" s="4"/>
      <c r="C19" s="7"/>
      <c r="D19" s="107" t="s">
        <v>901</v>
      </c>
      <c r="E19" s="246">
        <v>45386</v>
      </c>
      <c r="F19" s="243"/>
      <c r="G19" s="243"/>
      <c r="H19" s="54"/>
      <c r="I19" s="54"/>
      <c r="J19" s="54"/>
      <c r="K19" s="54"/>
      <c r="L19" s="54"/>
      <c r="M19" s="54"/>
      <c r="N19" s="54"/>
      <c r="O19" s="54"/>
      <c r="P19" s="54"/>
      <c r="Q19" s="54"/>
      <c r="R19" s="54"/>
      <c r="S19" s="54"/>
      <c r="T19" s="54"/>
      <c r="U19" s="54"/>
      <c r="V19" s="54"/>
      <c r="W19" s="54"/>
      <c r="X19" s="54"/>
      <c r="Y19" s="54"/>
      <c r="Z19" s="54"/>
      <c r="AA19" s="54"/>
      <c r="AB19" s="54"/>
      <c r="AC19" s="4"/>
    </row>
    <row r="20" spans="1:29">
      <c r="A20" s="4"/>
      <c r="B20" s="4"/>
      <c r="C20" s="7"/>
      <c r="D20" s="107" t="s">
        <v>902</v>
      </c>
      <c r="E20" s="247">
        <v>43160</v>
      </c>
      <c r="F20" s="87"/>
      <c r="G20" s="87"/>
      <c r="H20" s="54"/>
      <c r="I20" s="54"/>
      <c r="J20" s="54"/>
      <c r="K20" s="54"/>
      <c r="L20" s="54"/>
      <c r="M20" s="54"/>
      <c r="N20" s="54"/>
      <c r="O20" s="54"/>
      <c r="P20" s="54"/>
      <c r="Q20" s="54"/>
      <c r="R20" s="54"/>
      <c r="S20" s="54"/>
      <c r="T20" s="54"/>
      <c r="U20" s="54"/>
      <c r="V20" s="54"/>
      <c r="W20" s="54"/>
      <c r="X20" s="54"/>
      <c r="Y20" s="54"/>
      <c r="Z20" s="54"/>
      <c r="AA20" s="54"/>
      <c r="AB20" s="54"/>
      <c r="AC20" s="4"/>
    </row>
    <row r="21" spans="1:29">
      <c r="A21" s="4"/>
      <c r="B21" s="4"/>
      <c r="C21" s="7"/>
      <c r="D21" s="107" t="s">
        <v>903</v>
      </c>
      <c r="E21" s="247" t="s">
        <v>904</v>
      </c>
      <c r="F21" s="87"/>
      <c r="G21" s="87"/>
      <c r="H21" s="54"/>
      <c r="I21" s="54"/>
      <c r="J21" s="54"/>
      <c r="K21" s="54"/>
      <c r="L21" s="54"/>
      <c r="M21" s="54"/>
      <c r="N21" s="54"/>
      <c r="O21" s="54"/>
      <c r="P21" s="54"/>
      <c r="Q21" s="54"/>
      <c r="R21" s="54"/>
      <c r="S21" s="54"/>
      <c r="T21" s="54"/>
      <c r="U21" s="54"/>
      <c r="V21" s="54"/>
      <c r="W21" s="54"/>
      <c r="X21" s="54"/>
      <c r="Y21" s="54"/>
      <c r="Z21" s="54"/>
      <c r="AA21" s="54"/>
      <c r="AB21" s="54"/>
      <c r="AC21" s="4"/>
    </row>
    <row r="22" spans="1:29">
      <c r="A22" s="4"/>
      <c r="B22" s="4"/>
      <c r="C22" s="7"/>
      <c r="D22" s="107" t="s">
        <v>905</v>
      </c>
      <c r="E22" s="247" t="s">
        <v>906</v>
      </c>
      <c r="F22" s="87"/>
      <c r="G22" s="87"/>
      <c r="H22" s="54"/>
      <c r="I22" s="54"/>
      <c r="J22" s="54"/>
      <c r="K22" s="54"/>
      <c r="L22" s="54"/>
      <c r="M22" s="54"/>
      <c r="N22" s="54"/>
      <c r="O22" s="54"/>
      <c r="P22" s="54"/>
      <c r="Q22" s="54"/>
      <c r="R22" s="54"/>
      <c r="S22" s="54"/>
      <c r="T22" s="54"/>
      <c r="U22" s="54"/>
      <c r="V22" s="54"/>
      <c r="W22" s="54"/>
      <c r="X22" s="54"/>
      <c r="Y22" s="54"/>
      <c r="Z22" s="54"/>
      <c r="AA22" s="54"/>
      <c r="AB22" s="54"/>
      <c r="AC22" s="4"/>
    </row>
    <row r="23" spans="1:29">
      <c r="A23" s="4"/>
      <c r="B23" s="4"/>
      <c r="C23" s="7"/>
      <c r="D23" s="108" t="s">
        <v>907</v>
      </c>
      <c r="E23" s="248" t="s">
        <v>908</v>
      </c>
      <c r="F23" s="67"/>
      <c r="G23" s="67"/>
      <c r="H23" s="54"/>
      <c r="I23" s="54"/>
      <c r="J23" s="54"/>
      <c r="K23" s="54"/>
      <c r="L23" s="54"/>
      <c r="M23" s="54"/>
      <c r="N23" s="54"/>
      <c r="O23" s="54"/>
      <c r="P23" s="54"/>
      <c r="Q23" s="54"/>
      <c r="R23" s="54"/>
      <c r="S23" s="54"/>
      <c r="T23" s="54"/>
      <c r="U23" s="54"/>
      <c r="V23" s="54"/>
      <c r="W23" s="54"/>
      <c r="X23" s="54"/>
      <c r="Y23" s="54"/>
      <c r="Z23" s="54"/>
      <c r="AA23" s="54"/>
      <c r="AB23" s="54"/>
      <c r="AC23" s="4"/>
    </row>
    <row r="24" spans="1:29" ht="16.5">
      <c r="A24" s="4"/>
      <c r="B24" s="4"/>
      <c r="C24" s="7"/>
      <c r="D24" s="108" t="s">
        <v>1574</v>
      </c>
      <c r="E24" s="263" t="s">
        <v>1575</v>
      </c>
      <c r="F24" s="264"/>
      <c r="G24" s="67"/>
      <c r="H24" s="54"/>
      <c r="I24" s="54"/>
      <c r="J24" s="54"/>
      <c r="K24" s="54"/>
      <c r="L24" s="54"/>
      <c r="M24" s="54"/>
      <c r="N24" s="54"/>
      <c r="O24" s="54"/>
      <c r="P24" s="54"/>
      <c r="Q24" s="54"/>
      <c r="R24" s="54"/>
      <c r="S24" s="54"/>
      <c r="T24" s="54"/>
      <c r="U24" s="54"/>
      <c r="V24" s="54"/>
      <c r="W24" s="54"/>
      <c r="X24" s="54"/>
      <c r="Y24" s="54"/>
      <c r="Z24" s="54"/>
      <c r="AA24" s="54"/>
      <c r="AB24" s="54"/>
      <c r="AC24" s="4"/>
    </row>
    <row r="25" spans="1:29">
      <c r="A25" s="4"/>
      <c r="B25" s="4"/>
      <c r="C25" s="7"/>
      <c r="D25" s="108" t="s">
        <v>1576</v>
      </c>
      <c r="E25" s="262" t="str">
        <f>IF(E24="Full Scale", "Yes", "No")</f>
        <v>Yes</v>
      </c>
      <c r="F25" s="67"/>
      <c r="G25" s="67"/>
      <c r="H25" s="54"/>
      <c r="I25" s="54"/>
      <c r="J25" s="54"/>
      <c r="K25" s="54"/>
      <c r="L25" s="54"/>
      <c r="M25" s="54"/>
      <c r="N25" s="54"/>
      <c r="O25" s="54"/>
      <c r="P25" s="54"/>
      <c r="Q25" s="54"/>
      <c r="R25" s="54"/>
      <c r="S25" s="54"/>
      <c r="T25" s="54"/>
      <c r="U25" s="54"/>
      <c r="V25" s="54"/>
      <c r="W25" s="54"/>
      <c r="X25" s="54"/>
      <c r="Y25" s="54"/>
      <c r="Z25" s="54"/>
      <c r="AA25" s="54"/>
      <c r="AB25" s="54"/>
      <c r="AC25" s="4"/>
    </row>
    <row r="26" spans="1:29">
      <c r="A26" s="4"/>
      <c r="B26" s="4"/>
      <c r="C26" s="7"/>
      <c r="D26" s="108" t="s">
        <v>1577</v>
      </c>
      <c r="E26" s="260" t="s">
        <v>318</v>
      </c>
      <c r="F26" s="67"/>
      <c r="G26" s="67"/>
      <c r="H26" s="54"/>
      <c r="I26" s="54"/>
      <c r="J26" s="54"/>
      <c r="K26" s="54"/>
      <c r="L26" s="54"/>
      <c r="M26" s="54"/>
      <c r="N26" s="54"/>
      <c r="O26" s="54"/>
      <c r="P26" s="54"/>
      <c r="Q26" s="54"/>
      <c r="R26" s="54"/>
      <c r="S26" s="54"/>
      <c r="T26" s="54"/>
      <c r="U26" s="54"/>
      <c r="V26" s="54"/>
      <c r="W26" s="54"/>
      <c r="X26" s="54"/>
      <c r="Y26" s="54"/>
      <c r="Z26" s="54"/>
      <c r="AA26" s="54"/>
      <c r="AB26" s="54"/>
      <c r="AC26" s="4"/>
    </row>
    <row r="27" spans="1:29">
      <c r="A27" s="4"/>
      <c r="B27" s="4"/>
      <c r="C27" s="7"/>
      <c r="D27" s="108" t="s">
        <v>1578</v>
      </c>
      <c r="E27" s="247" t="s">
        <v>317</v>
      </c>
      <c r="F27" s="67"/>
      <c r="G27" s="67"/>
      <c r="H27" s="54"/>
      <c r="I27" s="54"/>
      <c r="J27" s="54"/>
      <c r="K27" s="54"/>
      <c r="L27" s="54"/>
      <c r="M27" s="54"/>
      <c r="N27" s="54"/>
      <c r="O27" s="54"/>
      <c r="P27" s="54"/>
      <c r="Q27" s="54"/>
      <c r="R27" s="54"/>
      <c r="S27" s="54"/>
      <c r="T27" s="54"/>
      <c r="U27" s="54"/>
      <c r="V27" s="54"/>
      <c r="W27" s="54"/>
      <c r="X27" s="54"/>
      <c r="Y27" s="54"/>
      <c r="Z27" s="54"/>
      <c r="AA27" s="54"/>
      <c r="AB27" s="54"/>
      <c r="AC27" s="4"/>
    </row>
    <row r="28" spans="1:29">
      <c r="A28" s="4"/>
      <c r="B28" s="4"/>
      <c r="C28" s="7"/>
      <c r="D28" s="108" t="s">
        <v>1579</v>
      </c>
      <c r="E28" s="261">
        <v>6</v>
      </c>
      <c r="F28" s="67"/>
      <c r="G28" s="67"/>
      <c r="H28" s="54"/>
      <c r="I28" s="54"/>
      <c r="J28" s="54"/>
      <c r="K28" s="54"/>
      <c r="L28" s="54"/>
      <c r="M28" s="54"/>
      <c r="N28" s="54"/>
      <c r="O28" s="54"/>
      <c r="P28" s="54"/>
      <c r="Q28" s="54"/>
      <c r="R28" s="54"/>
      <c r="S28" s="54"/>
      <c r="T28" s="54"/>
      <c r="U28" s="54"/>
      <c r="V28" s="54"/>
      <c r="W28" s="54"/>
      <c r="X28" s="54"/>
      <c r="Y28" s="54"/>
      <c r="Z28" s="54"/>
      <c r="AA28" s="54"/>
      <c r="AB28" s="54"/>
      <c r="AC28" s="4"/>
    </row>
    <row r="29" spans="1:29">
      <c r="A29" s="4"/>
      <c r="B29" s="4"/>
      <c r="C29" s="7"/>
      <c r="D29" s="108" t="s">
        <v>811</v>
      </c>
      <c r="E29" s="246">
        <v>44896</v>
      </c>
      <c r="F29" s="67"/>
      <c r="G29" s="67"/>
      <c r="H29" s="54"/>
      <c r="I29" s="54"/>
      <c r="J29" s="54"/>
      <c r="K29" s="54"/>
      <c r="L29" s="54"/>
      <c r="M29" s="54"/>
      <c r="N29" s="54"/>
      <c r="O29" s="54"/>
      <c r="P29" s="54"/>
      <c r="Q29" s="54"/>
      <c r="R29" s="54"/>
      <c r="S29" s="54"/>
      <c r="T29" s="54"/>
      <c r="U29" s="54"/>
      <c r="V29" s="54"/>
      <c r="W29" s="54"/>
      <c r="X29" s="54"/>
      <c r="Y29" s="54"/>
      <c r="Z29" s="54"/>
      <c r="AA29" s="54"/>
      <c r="AB29" s="54"/>
      <c r="AC29" s="4"/>
    </row>
    <row r="30" spans="1:29">
      <c r="A30" s="4"/>
      <c r="B30" s="4"/>
      <c r="C30" s="7"/>
      <c r="D30" s="108" t="s">
        <v>1580</v>
      </c>
      <c r="E30" s="246" t="s">
        <v>1567</v>
      </c>
      <c r="F30" s="67"/>
      <c r="G30" s="67"/>
      <c r="H30" s="54"/>
      <c r="I30" s="54"/>
      <c r="J30" s="54"/>
      <c r="K30" s="54"/>
      <c r="L30" s="54"/>
      <c r="M30" s="54"/>
      <c r="N30" s="54"/>
      <c r="O30" s="54"/>
      <c r="P30" s="54"/>
      <c r="Q30" s="54"/>
      <c r="R30" s="54"/>
      <c r="S30" s="54"/>
      <c r="T30" s="54"/>
      <c r="U30" s="54"/>
      <c r="V30" s="54"/>
      <c r="W30" s="54"/>
      <c r="X30" s="54"/>
      <c r="Y30" s="54"/>
      <c r="Z30" s="54"/>
      <c r="AA30" s="54"/>
      <c r="AB30" s="54"/>
      <c r="AC30" s="4"/>
    </row>
    <row r="31" spans="1:29">
      <c r="A31" s="4"/>
      <c r="B31" s="4"/>
      <c r="C31" s="7"/>
      <c r="D31" s="108" t="s">
        <v>813</v>
      </c>
      <c r="E31" s="246" t="s">
        <v>1571</v>
      </c>
      <c r="F31" s="67"/>
      <c r="G31" s="67"/>
      <c r="H31" s="54"/>
      <c r="I31" s="54"/>
      <c r="J31" s="54"/>
      <c r="K31" s="54"/>
      <c r="L31" s="54"/>
      <c r="M31" s="54"/>
      <c r="N31" s="54"/>
      <c r="O31" s="54"/>
      <c r="P31" s="54"/>
      <c r="Q31" s="54"/>
      <c r="R31" s="54"/>
      <c r="S31" s="54"/>
      <c r="T31" s="54"/>
      <c r="U31" s="54"/>
      <c r="V31" s="54"/>
      <c r="W31" s="54"/>
      <c r="X31" s="54"/>
      <c r="Y31" s="54"/>
      <c r="Z31" s="54"/>
      <c r="AA31" s="54"/>
      <c r="AB31" s="54"/>
      <c r="AC31" s="4"/>
    </row>
    <row r="32" spans="1:29">
      <c r="A32" s="4"/>
      <c r="B32" s="4"/>
      <c r="C32" s="7"/>
      <c r="D32" s="108" t="s">
        <v>1581</v>
      </c>
      <c r="E32" s="246">
        <f>DATE(YEAR(E29),MONTH(E29)+6,DAY(E29))</f>
        <v>45078</v>
      </c>
      <c r="F32" s="67"/>
      <c r="G32" s="67"/>
      <c r="H32" s="54"/>
      <c r="I32" s="54"/>
      <c r="J32" s="54"/>
      <c r="K32" s="54"/>
      <c r="L32" s="54"/>
      <c r="M32" s="54"/>
      <c r="N32" s="54"/>
      <c r="O32" s="54"/>
      <c r="P32" s="54"/>
      <c r="Q32" s="54"/>
      <c r="R32" s="54"/>
      <c r="S32" s="54"/>
      <c r="T32" s="54"/>
      <c r="U32" s="54"/>
      <c r="V32" s="54"/>
      <c r="W32" s="54"/>
      <c r="X32" s="54"/>
      <c r="Y32" s="54"/>
      <c r="Z32" s="54"/>
      <c r="AA32" s="54"/>
      <c r="AB32" s="54"/>
      <c r="AC32" s="4"/>
    </row>
    <row r="33" spans="1:29">
      <c r="A33" s="4"/>
      <c r="B33" s="4"/>
      <c r="C33" s="7"/>
      <c r="D33" s="108" t="s">
        <v>1582</v>
      </c>
      <c r="E33" s="246"/>
      <c r="F33" s="67"/>
      <c r="G33" s="67"/>
      <c r="H33" s="54"/>
      <c r="I33" s="54"/>
      <c r="J33" s="54"/>
      <c r="K33" s="54"/>
      <c r="L33" s="54"/>
      <c r="M33" s="54"/>
      <c r="N33" s="54"/>
      <c r="O33" s="54"/>
      <c r="P33" s="54"/>
      <c r="Q33" s="54"/>
      <c r="R33" s="54"/>
      <c r="S33" s="54"/>
      <c r="T33" s="54"/>
      <c r="U33" s="54"/>
      <c r="V33" s="54"/>
      <c r="W33" s="54"/>
      <c r="X33" s="54"/>
      <c r="Y33" s="54"/>
      <c r="Z33" s="54"/>
      <c r="AA33" s="54"/>
      <c r="AB33" s="54"/>
      <c r="AC33" s="4"/>
    </row>
    <row r="34" spans="1:29">
      <c r="A34" s="4"/>
      <c r="B34" s="4"/>
      <c r="C34" s="7"/>
      <c r="D34" s="108" t="s">
        <v>1583</v>
      </c>
      <c r="E34" s="246"/>
      <c r="F34" s="67"/>
      <c r="G34" s="67"/>
      <c r="H34" s="54"/>
      <c r="I34" s="54"/>
      <c r="J34" s="54"/>
      <c r="K34" s="54"/>
      <c r="L34" s="54"/>
      <c r="M34" s="54"/>
      <c r="N34" s="54"/>
      <c r="O34" s="54"/>
      <c r="P34" s="54"/>
      <c r="Q34" s="54"/>
      <c r="R34" s="54"/>
      <c r="S34" s="54"/>
      <c r="T34" s="54"/>
      <c r="U34" s="54"/>
      <c r="V34" s="54"/>
      <c r="W34" s="54"/>
      <c r="X34" s="54"/>
      <c r="Y34" s="54"/>
      <c r="Z34" s="54"/>
      <c r="AA34" s="54"/>
      <c r="AB34" s="54"/>
      <c r="AC34" s="4"/>
    </row>
    <row r="35" spans="1:29">
      <c r="A35" s="4"/>
      <c r="B35" s="4"/>
      <c r="C35" s="7"/>
      <c r="D35" s="108" t="s">
        <v>817</v>
      </c>
      <c r="E35" s="246">
        <f>DATE(YEAR(E32),MONTH(E32)+E28,DAY(E32))</f>
        <v>45261</v>
      </c>
      <c r="F35" s="67"/>
      <c r="G35" s="67"/>
      <c r="H35" s="54"/>
      <c r="I35" s="54"/>
      <c r="J35" s="54"/>
      <c r="K35" s="54"/>
      <c r="L35" s="54"/>
      <c r="M35" s="54"/>
      <c r="N35" s="54"/>
      <c r="O35" s="54"/>
      <c r="P35" s="54"/>
      <c r="Q35" s="54"/>
      <c r="R35" s="54"/>
      <c r="S35" s="54"/>
      <c r="T35" s="54"/>
      <c r="U35" s="54"/>
      <c r="V35" s="54"/>
      <c r="W35" s="54"/>
      <c r="X35" s="54"/>
      <c r="Y35" s="54"/>
      <c r="Z35" s="54"/>
      <c r="AA35" s="54"/>
      <c r="AB35" s="54"/>
      <c r="AC35" s="4"/>
    </row>
    <row r="36" spans="1:29">
      <c r="A36" s="4"/>
      <c r="B36" s="4"/>
      <c r="C36" s="7"/>
      <c r="D36" s="54"/>
      <c r="E36" s="54"/>
      <c r="F36" s="160"/>
      <c r="G36" s="160"/>
      <c r="H36" s="54"/>
      <c r="I36" s="54"/>
      <c r="J36" s="54"/>
      <c r="K36" s="54"/>
      <c r="L36" s="54"/>
      <c r="M36" s="54"/>
      <c r="N36" s="54"/>
      <c r="O36" s="54"/>
      <c r="P36" s="54"/>
      <c r="Q36" s="54"/>
      <c r="R36" s="54"/>
      <c r="S36" s="54"/>
      <c r="T36" s="54"/>
      <c r="U36" s="54"/>
      <c r="V36" s="54"/>
      <c r="W36" s="54"/>
      <c r="X36" s="54"/>
      <c r="Y36" s="54"/>
      <c r="Z36" s="54"/>
      <c r="AA36" s="54"/>
      <c r="AB36" s="54"/>
      <c r="AC36" s="4"/>
    </row>
    <row r="37" spans="1:29">
      <c r="A37" s="4"/>
      <c r="B37" s="4"/>
      <c r="C37" s="4"/>
      <c r="D37" s="4"/>
      <c r="E37" s="4"/>
      <c r="F37" s="4"/>
      <c r="G37" s="4"/>
      <c r="H37" s="4"/>
      <c r="I37" s="4"/>
      <c r="J37" s="4"/>
      <c r="K37" s="4"/>
      <c r="L37" s="4"/>
      <c r="M37" s="4"/>
      <c r="N37" s="4"/>
      <c r="O37" s="4"/>
      <c r="P37" s="4"/>
      <c r="Q37" s="4"/>
      <c r="R37" s="4"/>
      <c r="S37" s="4"/>
      <c r="T37" s="4"/>
      <c r="U37" s="4"/>
      <c r="V37" s="4"/>
      <c r="W37" s="4"/>
      <c r="X37" s="4"/>
      <c r="Y37" s="4"/>
      <c r="Z37" s="4"/>
      <c r="AA37" s="4"/>
      <c r="AB37" s="4"/>
      <c r="AC37" s="4"/>
    </row>
    <row r="38" spans="1:29">
      <c r="A38" s="4"/>
      <c r="B38" s="4"/>
      <c r="C38" s="7" t="s">
        <v>1584</v>
      </c>
      <c r="D38" s="7"/>
      <c r="E38" s="7"/>
      <c r="F38" s="7"/>
      <c r="G38" s="7"/>
      <c r="H38" s="7"/>
      <c r="I38" s="7"/>
      <c r="J38" s="7"/>
      <c r="K38" s="7"/>
      <c r="L38" s="7"/>
      <c r="M38" s="7"/>
      <c r="N38" s="7"/>
      <c r="O38" s="7"/>
      <c r="P38" s="7"/>
      <c r="Q38" s="7"/>
      <c r="R38" s="7"/>
      <c r="S38" s="7"/>
      <c r="T38" s="7"/>
      <c r="U38" s="7"/>
      <c r="V38" s="7"/>
      <c r="W38" s="7"/>
      <c r="X38" s="7"/>
      <c r="Y38" s="7"/>
      <c r="Z38" s="7"/>
      <c r="AA38" s="7"/>
      <c r="AB38" s="7"/>
      <c r="AC38" s="4"/>
    </row>
    <row r="39" spans="1:29" ht="16.5">
      <c r="A39" s="4"/>
      <c r="B39" s="4"/>
      <c r="C39" s="7" t="s">
        <v>1585</v>
      </c>
      <c r="D39" s="7"/>
      <c r="E39" s="7"/>
      <c r="F39" s="7"/>
      <c r="G39" s="7"/>
      <c r="H39" s="7"/>
      <c r="I39" s="7"/>
      <c r="J39" s="7"/>
      <c r="K39" s="7"/>
      <c r="L39" s="7"/>
      <c r="M39" s="7"/>
      <c r="N39" s="7"/>
      <c r="O39" s="7"/>
      <c r="P39" s="7"/>
      <c r="Q39" s="7"/>
      <c r="R39" s="7"/>
      <c r="S39" s="7"/>
      <c r="T39" s="7"/>
      <c r="U39" s="7"/>
      <c r="V39" s="7"/>
      <c r="W39" s="7"/>
      <c r="X39" s="7"/>
      <c r="Y39" s="7"/>
      <c r="Z39" s="7"/>
      <c r="AA39" s="7"/>
      <c r="AB39" s="7"/>
      <c r="AC39" s="4"/>
    </row>
    <row r="40" spans="1:29" ht="16.5">
      <c r="A40" s="4"/>
      <c r="B40" s="4"/>
      <c r="C40" s="7" t="s">
        <v>1586</v>
      </c>
      <c r="D40" s="54"/>
      <c r="E40" s="54"/>
      <c r="F40" s="54"/>
      <c r="G40" s="54"/>
      <c r="H40" s="54"/>
      <c r="I40" s="54"/>
      <c r="J40" s="54"/>
      <c r="K40" s="54"/>
      <c r="L40" s="54"/>
      <c r="M40" s="54"/>
      <c r="N40" s="54"/>
      <c r="O40" s="54"/>
      <c r="P40" s="54"/>
      <c r="Q40" s="54"/>
      <c r="R40" s="54"/>
      <c r="S40" s="54"/>
      <c r="T40" s="54"/>
      <c r="U40" s="54"/>
      <c r="V40" s="54"/>
      <c r="W40" s="54"/>
      <c r="X40" s="54"/>
      <c r="Y40" s="54"/>
      <c r="Z40" s="54"/>
      <c r="AA40" s="54"/>
      <c r="AB40" s="54"/>
      <c r="AC40" s="4"/>
    </row>
    <row r="41" spans="1:29" ht="16.5">
      <c r="A41" s="4"/>
      <c r="B41" s="4"/>
      <c r="C41" s="7" t="s">
        <v>1587</v>
      </c>
      <c r="D41" s="7"/>
      <c r="E41" s="7"/>
      <c r="F41" s="7"/>
      <c r="G41" s="7"/>
      <c r="H41" s="7"/>
      <c r="I41" s="7"/>
      <c r="J41" s="7"/>
      <c r="K41" s="7"/>
      <c r="L41" s="7"/>
      <c r="M41" s="7"/>
      <c r="N41" s="7"/>
      <c r="O41" s="7"/>
      <c r="P41" s="7"/>
      <c r="Q41" s="7"/>
      <c r="R41" s="7"/>
      <c r="S41" s="7"/>
      <c r="T41" s="7"/>
      <c r="U41" s="7"/>
      <c r="V41" s="7"/>
      <c r="W41" s="7"/>
      <c r="X41" s="7"/>
      <c r="Y41" s="7"/>
      <c r="Z41" s="7"/>
      <c r="AA41" s="7"/>
      <c r="AB41" s="7"/>
      <c r="AC41" s="4"/>
    </row>
    <row r="42" spans="1:29">
      <c r="A42" s="4"/>
      <c r="B42" s="4"/>
      <c r="C42" s="4"/>
      <c r="D42" s="4"/>
      <c r="E42" s="4"/>
      <c r="F42" s="4"/>
      <c r="G42" s="4"/>
      <c r="H42" s="4"/>
      <c r="I42" s="4"/>
      <c r="J42" s="4"/>
      <c r="K42" s="4"/>
      <c r="L42" s="4"/>
      <c r="M42" s="4"/>
      <c r="N42" s="4"/>
      <c r="O42" s="4"/>
      <c r="P42" s="4"/>
      <c r="Q42" s="4"/>
      <c r="R42" s="4"/>
      <c r="S42" s="4"/>
      <c r="T42" s="4"/>
      <c r="U42" s="4"/>
      <c r="V42" s="4"/>
      <c r="W42" s="4"/>
      <c r="X42" s="4"/>
      <c r="Y42" s="4"/>
      <c r="Z42" s="4"/>
      <c r="AA42" s="4"/>
      <c r="AB42" s="4"/>
      <c r="AC42" s="4"/>
    </row>
    <row r="43" spans="1:29" ht="18.600000000000001">
      <c r="A43" s="102"/>
      <c r="B43" s="102"/>
      <c r="C43" s="102" t="s">
        <v>944</v>
      </c>
      <c r="D43" s="102"/>
      <c r="E43" s="102"/>
      <c r="F43" s="102"/>
      <c r="G43" s="102"/>
      <c r="H43" s="102"/>
      <c r="I43" s="102"/>
      <c r="J43" s="102"/>
      <c r="K43" s="102"/>
      <c r="L43" s="102"/>
      <c r="M43" s="102"/>
      <c r="N43" s="102"/>
      <c r="O43" s="102"/>
      <c r="P43" s="102"/>
      <c r="Q43" s="102"/>
      <c r="R43" s="102"/>
      <c r="S43" s="102"/>
      <c r="T43" s="102"/>
      <c r="U43" s="102"/>
      <c r="V43" s="102"/>
      <c r="W43" s="102"/>
      <c r="X43" s="102"/>
      <c r="Y43" s="102"/>
      <c r="Z43" s="102"/>
      <c r="AA43" s="102"/>
      <c r="AB43" s="102"/>
      <c r="AC43" s="4"/>
    </row>
    <row r="44" spans="1:29" hidden="1" outlineLevel="1">
      <c r="A44" s="4"/>
      <c r="B44" s="4"/>
      <c r="C44" s="4"/>
      <c r="D44" s="4"/>
      <c r="E44" s="4"/>
      <c r="F44" s="4"/>
      <c r="G44" s="4"/>
      <c r="H44" s="4"/>
      <c r="I44" s="4"/>
      <c r="J44" s="4"/>
      <c r="K44" s="4"/>
      <c r="L44" s="4"/>
      <c r="M44" s="4"/>
      <c r="N44" s="4"/>
      <c r="O44" s="4"/>
      <c r="P44" s="4"/>
      <c r="Q44" s="4"/>
      <c r="R44" s="4"/>
      <c r="S44" s="4"/>
      <c r="T44" s="4"/>
      <c r="U44" s="4"/>
      <c r="V44" s="4"/>
      <c r="W44" s="4"/>
      <c r="X44" s="4"/>
      <c r="Y44" s="4"/>
      <c r="Z44" s="4"/>
      <c r="AA44" s="4"/>
      <c r="AB44" s="4"/>
      <c r="AC44" s="4"/>
    </row>
    <row r="45" spans="1:29" hidden="1" outlineLevel="1">
      <c r="A45" s="4"/>
      <c r="B45" s="4"/>
      <c r="C45" s="7"/>
      <c r="D45" s="7"/>
      <c r="E45" s="7"/>
      <c r="F45" s="7"/>
      <c r="G45" s="7"/>
      <c r="H45" s="7"/>
      <c r="I45" s="7"/>
      <c r="J45" s="7"/>
      <c r="K45" s="7"/>
      <c r="L45" s="7"/>
      <c r="M45" s="7"/>
      <c r="N45" s="7"/>
      <c r="O45" s="7"/>
      <c r="P45" s="7"/>
      <c r="Q45" s="7"/>
      <c r="R45" s="7"/>
      <c r="S45" s="7"/>
      <c r="T45" s="7"/>
      <c r="U45" s="7"/>
      <c r="V45" s="7"/>
      <c r="W45" s="7"/>
      <c r="X45" s="7"/>
      <c r="Y45" s="7"/>
      <c r="Z45" s="7"/>
      <c r="AA45" s="7"/>
      <c r="AB45" s="7"/>
      <c r="AC45" s="4"/>
    </row>
    <row r="46" spans="1:29" hidden="1" outlineLevel="1">
      <c r="A46" s="4"/>
      <c r="B46" s="4"/>
      <c r="C46" s="7"/>
      <c r="D46" s="16" t="s">
        <v>473</v>
      </c>
      <c r="E46" s="16" t="s">
        <v>267</v>
      </c>
      <c r="F46" s="16" t="s">
        <v>945</v>
      </c>
      <c r="G46" s="16" t="s">
        <v>1588</v>
      </c>
      <c r="H46" s="16" t="s">
        <v>1589</v>
      </c>
      <c r="I46" s="7"/>
      <c r="J46" s="7"/>
      <c r="K46" s="7"/>
      <c r="L46" s="7"/>
      <c r="M46" s="7"/>
      <c r="N46" s="7"/>
      <c r="O46" s="7"/>
      <c r="P46" s="7"/>
      <c r="Q46" s="7"/>
      <c r="R46" s="7"/>
      <c r="S46" s="7"/>
      <c r="T46" s="7"/>
      <c r="U46" s="7"/>
      <c r="V46" s="7"/>
      <c r="W46" s="7"/>
      <c r="X46" s="7"/>
      <c r="Y46" s="7"/>
      <c r="Z46" s="7"/>
      <c r="AA46" s="7"/>
      <c r="AB46" s="7"/>
      <c r="AC46" s="4"/>
    </row>
    <row r="47" spans="1:29" ht="101.45" hidden="1" outlineLevel="1">
      <c r="A47" s="4"/>
      <c r="B47" s="4"/>
      <c r="C47" s="7"/>
      <c r="D47" s="18" t="s">
        <v>1357</v>
      </c>
      <c r="E47" s="18" t="s">
        <v>331</v>
      </c>
      <c r="F47" s="18" t="s">
        <v>1590</v>
      </c>
      <c r="G47" s="16" t="s">
        <v>318</v>
      </c>
      <c r="H47" s="18" t="s">
        <v>1591</v>
      </c>
      <c r="I47" s="7"/>
      <c r="J47" s="7"/>
      <c r="K47" s="7"/>
      <c r="L47" s="7"/>
      <c r="M47" s="7"/>
      <c r="N47" s="7"/>
      <c r="O47" s="7"/>
      <c r="P47" s="7"/>
      <c r="Q47" s="7"/>
      <c r="R47" s="7"/>
      <c r="S47" s="7"/>
      <c r="T47" s="7"/>
      <c r="U47" s="7"/>
      <c r="V47" s="7"/>
      <c r="W47" s="7"/>
      <c r="X47" s="7"/>
      <c r="Y47" s="7"/>
      <c r="Z47" s="7"/>
      <c r="AA47" s="7"/>
      <c r="AB47" s="7"/>
      <c r="AC47" s="4"/>
    </row>
    <row r="48" spans="1:29" ht="72.599999999999994" hidden="1" outlineLevel="1">
      <c r="A48" s="4"/>
      <c r="B48" s="4"/>
      <c r="C48" s="7"/>
      <c r="D48" s="18" t="s">
        <v>834</v>
      </c>
      <c r="E48" s="18" t="s">
        <v>319</v>
      </c>
      <c r="F48" s="18" t="s">
        <v>1592</v>
      </c>
      <c r="G48" s="16" t="s">
        <v>317</v>
      </c>
      <c r="H48" s="18" t="s">
        <v>267</v>
      </c>
      <c r="I48" s="7"/>
      <c r="J48" s="7"/>
      <c r="K48" s="7"/>
      <c r="L48" s="7"/>
      <c r="M48" s="7"/>
      <c r="N48" s="7"/>
      <c r="O48" s="7"/>
      <c r="P48" s="7"/>
      <c r="Q48" s="7"/>
      <c r="R48" s="7"/>
      <c r="S48" s="7"/>
      <c r="T48" s="7"/>
      <c r="U48" s="7"/>
      <c r="V48" s="7"/>
      <c r="W48" s="7"/>
      <c r="X48" s="7"/>
      <c r="Y48" s="7"/>
      <c r="Z48" s="7"/>
      <c r="AA48" s="7"/>
      <c r="AB48" s="7"/>
      <c r="AC48" s="4"/>
    </row>
    <row r="49" spans="1:29" ht="72.599999999999994" hidden="1" outlineLevel="1">
      <c r="A49" s="4"/>
      <c r="B49" s="4"/>
      <c r="C49" s="7"/>
      <c r="D49" s="18" t="s">
        <v>1359</v>
      </c>
      <c r="E49" s="18" t="s">
        <v>319</v>
      </c>
      <c r="F49" s="18" t="s">
        <v>1592</v>
      </c>
      <c r="G49" s="16" t="s">
        <v>318</v>
      </c>
      <c r="H49" s="18" t="s">
        <v>1593</v>
      </c>
      <c r="I49" s="7"/>
      <c r="J49" s="7"/>
      <c r="K49" s="7"/>
      <c r="L49" s="7"/>
      <c r="M49" s="7"/>
      <c r="N49" s="7"/>
      <c r="O49" s="7"/>
      <c r="P49" s="7"/>
      <c r="Q49" s="7"/>
      <c r="R49" s="7"/>
      <c r="S49" s="7"/>
      <c r="T49" s="7"/>
      <c r="U49" s="7"/>
      <c r="V49" s="7"/>
      <c r="W49" s="7"/>
      <c r="X49" s="7"/>
      <c r="Y49" s="7"/>
      <c r="Z49" s="7"/>
      <c r="AA49" s="7"/>
      <c r="AB49" s="7"/>
      <c r="AC49" s="4"/>
    </row>
    <row r="50" spans="1:29" ht="130.5" hidden="1" outlineLevel="1">
      <c r="A50" s="4"/>
      <c r="B50" s="4"/>
      <c r="C50" s="7"/>
      <c r="D50" s="18" t="s">
        <v>1178</v>
      </c>
      <c r="E50" s="18" t="s">
        <v>335</v>
      </c>
      <c r="F50" s="18" t="s">
        <v>1594</v>
      </c>
      <c r="G50" s="16" t="s">
        <v>318</v>
      </c>
      <c r="H50" s="18" t="s">
        <v>1595</v>
      </c>
      <c r="I50" s="7"/>
      <c r="J50" s="7"/>
      <c r="K50" s="7"/>
      <c r="L50" s="7"/>
      <c r="M50" s="7"/>
      <c r="N50" s="7"/>
      <c r="O50" s="7"/>
      <c r="P50" s="7"/>
      <c r="Q50" s="7"/>
      <c r="R50" s="7"/>
      <c r="S50" s="7"/>
      <c r="T50" s="7"/>
      <c r="U50" s="7"/>
      <c r="V50" s="7"/>
      <c r="W50" s="7"/>
      <c r="X50" s="7"/>
      <c r="Y50" s="7"/>
      <c r="Z50" s="7"/>
      <c r="AA50" s="7"/>
      <c r="AB50" s="7"/>
      <c r="AC50" s="4"/>
    </row>
    <row r="51" spans="1:29" ht="130.5" hidden="1" outlineLevel="1">
      <c r="A51" s="4"/>
      <c r="B51" s="4"/>
      <c r="C51" s="7"/>
      <c r="D51" s="18" t="s">
        <v>1355</v>
      </c>
      <c r="E51" s="18" t="s">
        <v>335</v>
      </c>
      <c r="F51" s="18" t="s">
        <v>1594</v>
      </c>
      <c r="G51" s="16" t="s">
        <v>318</v>
      </c>
      <c r="H51" s="18" t="s">
        <v>1595</v>
      </c>
      <c r="I51" s="7"/>
      <c r="J51" s="7"/>
      <c r="K51" s="7"/>
      <c r="L51" s="7"/>
      <c r="M51" s="7"/>
      <c r="N51" s="7"/>
      <c r="O51" s="7"/>
      <c r="P51" s="7"/>
      <c r="Q51" s="7"/>
      <c r="R51" s="7"/>
      <c r="S51" s="7"/>
      <c r="T51" s="7"/>
      <c r="U51" s="7"/>
      <c r="V51" s="7"/>
      <c r="W51" s="7"/>
      <c r="X51" s="7"/>
      <c r="Y51" s="7"/>
      <c r="Z51" s="7"/>
      <c r="AA51" s="7"/>
      <c r="AB51" s="7"/>
      <c r="AC51" s="4"/>
    </row>
    <row r="52" spans="1:29" ht="101.45" hidden="1" outlineLevel="1">
      <c r="A52" s="4"/>
      <c r="B52" s="4"/>
      <c r="C52" s="7"/>
      <c r="D52" s="18" t="s">
        <v>1356</v>
      </c>
      <c r="E52" s="18" t="s">
        <v>335</v>
      </c>
      <c r="F52" s="18" t="s">
        <v>1590</v>
      </c>
      <c r="G52" s="16" t="s">
        <v>318</v>
      </c>
      <c r="H52" s="18" t="s">
        <v>1595</v>
      </c>
      <c r="I52" s="7"/>
      <c r="J52" s="7"/>
      <c r="K52" s="7"/>
      <c r="L52" s="7"/>
      <c r="M52" s="7"/>
      <c r="N52" s="7"/>
      <c r="O52" s="7"/>
      <c r="P52" s="7"/>
      <c r="Q52" s="7"/>
      <c r="R52" s="7"/>
      <c r="S52" s="7"/>
      <c r="T52" s="7"/>
      <c r="U52" s="7"/>
      <c r="V52" s="7"/>
      <c r="W52" s="7"/>
      <c r="X52" s="7"/>
      <c r="Y52" s="7"/>
      <c r="Z52" s="7"/>
      <c r="AA52" s="7"/>
      <c r="AB52" s="7"/>
      <c r="AC52" s="4"/>
    </row>
    <row r="53" spans="1:29" ht="116.1" hidden="1" outlineLevel="1">
      <c r="A53" s="4"/>
      <c r="B53" s="4"/>
      <c r="C53" s="7"/>
      <c r="D53" s="18" t="s">
        <v>1358</v>
      </c>
      <c r="E53" s="18" t="s">
        <v>339</v>
      </c>
      <c r="F53" s="18" t="s">
        <v>1596</v>
      </c>
      <c r="G53" s="16" t="s">
        <v>318</v>
      </c>
      <c r="H53" s="18" t="s">
        <v>1595</v>
      </c>
      <c r="I53" s="7"/>
      <c r="J53" s="7"/>
      <c r="K53" s="7"/>
      <c r="L53" s="7"/>
      <c r="M53" s="7"/>
      <c r="N53" s="7"/>
      <c r="O53" s="7"/>
      <c r="P53" s="7"/>
      <c r="Q53" s="7"/>
      <c r="R53" s="7"/>
      <c r="S53" s="7"/>
      <c r="T53" s="7"/>
      <c r="U53" s="7"/>
      <c r="V53" s="7"/>
      <c r="W53" s="7"/>
      <c r="X53" s="7"/>
      <c r="Y53" s="7"/>
      <c r="Z53" s="7"/>
      <c r="AA53" s="7"/>
      <c r="AB53" s="7"/>
      <c r="AC53" s="4"/>
    </row>
    <row r="54" spans="1:29" hidden="1" outlineLevel="1">
      <c r="A54" s="4"/>
      <c r="B54" s="4"/>
      <c r="C54" s="7"/>
      <c r="D54" s="7"/>
      <c r="E54" s="7"/>
      <c r="F54" s="7"/>
      <c r="G54" s="7"/>
      <c r="H54" s="7"/>
      <c r="I54" s="7"/>
      <c r="J54" s="7"/>
      <c r="K54" s="7"/>
      <c r="L54" s="7"/>
      <c r="M54" s="7"/>
      <c r="N54" s="7"/>
      <c r="O54" s="7"/>
      <c r="P54" s="7"/>
      <c r="Q54" s="7"/>
      <c r="R54" s="7"/>
      <c r="S54" s="7"/>
      <c r="T54" s="7"/>
      <c r="U54" s="7"/>
      <c r="V54" s="7"/>
      <c r="W54" s="7"/>
      <c r="X54" s="7"/>
      <c r="Y54" s="7"/>
      <c r="Z54" s="7"/>
      <c r="AA54" s="7"/>
      <c r="AB54" s="7"/>
      <c r="AC54" s="4"/>
    </row>
    <row r="55" spans="1:29" collapsed="1">
      <c r="A55" s="4"/>
      <c r="B55" s="4"/>
      <c r="C55" s="4"/>
      <c r="D55" s="4"/>
      <c r="E55" s="4"/>
      <c r="F55" s="4"/>
      <c r="G55" s="4"/>
      <c r="H55" s="4"/>
      <c r="I55" s="4"/>
      <c r="J55" s="4"/>
      <c r="K55" s="4"/>
      <c r="L55" s="4"/>
      <c r="M55" s="4"/>
      <c r="N55" s="4"/>
      <c r="O55" s="4"/>
      <c r="P55" s="4"/>
      <c r="Q55" s="4"/>
      <c r="R55" s="4"/>
      <c r="S55" s="4"/>
      <c r="T55" s="4"/>
      <c r="U55" s="4"/>
      <c r="V55" s="4"/>
      <c r="W55" s="4"/>
      <c r="X55" s="4"/>
      <c r="Y55" s="4"/>
      <c r="Z55" s="4"/>
      <c r="AA55" s="4"/>
      <c r="AB55" s="4"/>
      <c r="AC55" s="4"/>
    </row>
    <row r="56" spans="1:29" ht="18.600000000000001">
      <c r="A56" s="4"/>
      <c r="B56" s="4"/>
      <c r="C56" s="102" t="s">
        <v>1597</v>
      </c>
      <c r="D56" s="102"/>
      <c r="E56" s="102"/>
      <c r="F56" s="4"/>
      <c r="G56" s="102"/>
      <c r="H56" s="102"/>
      <c r="I56" s="102"/>
      <c r="J56" s="102"/>
      <c r="K56" s="102"/>
      <c r="L56" s="102"/>
      <c r="M56" s="102"/>
      <c r="N56" s="102"/>
      <c r="O56" s="102"/>
      <c r="P56" s="102"/>
      <c r="Q56" s="102"/>
      <c r="R56" s="102"/>
      <c r="S56" s="102"/>
      <c r="T56" s="102"/>
      <c r="U56" s="102"/>
      <c r="V56" s="102"/>
      <c r="W56" s="102"/>
      <c r="X56" s="102"/>
      <c r="Y56" s="102"/>
      <c r="Z56" s="102"/>
      <c r="AA56" s="102"/>
      <c r="AB56" s="102"/>
      <c r="AC56" s="4"/>
    </row>
    <row r="57" spans="1:29" ht="14.45" customHeight="1">
      <c r="A57" s="4"/>
      <c r="B57" s="4"/>
      <c r="C57" s="102"/>
      <c r="D57" s="102"/>
      <c r="E57" s="102"/>
      <c r="F57" s="4"/>
      <c r="G57" s="102"/>
      <c r="H57" s="102"/>
      <c r="I57" s="102"/>
      <c r="J57" s="102"/>
      <c r="K57" s="102"/>
      <c r="L57" s="102"/>
      <c r="M57" s="102"/>
      <c r="N57" s="102"/>
      <c r="O57" s="102"/>
      <c r="P57" s="102"/>
      <c r="Q57" s="102"/>
      <c r="R57" s="102"/>
      <c r="S57" s="102"/>
      <c r="T57" s="102"/>
      <c r="U57" s="102"/>
      <c r="V57" s="102"/>
      <c r="W57" s="102"/>
      <c r="X57" s="102"/>
      <c r="Y57" s="102"/>
      <c r="Z57" s="102"/>
      <c r="AA57" s="102"/>
      <c r="AB57" s="102"/>
      <c r="AC57" s="4"/>
    </row>
    <row r="58" spans="1:29" ht="18.600000000000001">
      <c r="A58" s="4"/>
      <c r="B58" s="4"/>
      <c r="C58" s="499" t="s">
        <v>1598</v>
      </c>
      <c r="D58" s="102"/>
      <c r="E58" s="102"/>
      <c r="F58" s="4"/>
      <c r="G58" s="102"/>
      <c r="H58" s="102"/>
      <c r="I58" s="102"/>
      <c r="J58" s="102"/>
      <c r="K58" s="102"/>
      <c r="L58" s="102"/>
      <c r="M58" s="102"/>
      <c r="N58" s="102"/>
      <c r="O58" s="102"/>
      <c r="P58" s="102"/>
      <c r="Q58" s="102"/>
      <c r="R58" s="102"/>
      <c r="S58" s="102"/>
      <c r="T58" s="102"/>
      <c r="U58" s="102"/>
      <c r="V58" s="102"/>
      <c r="W58" s="102"/>
      <c r="X58" s="102"/>
      <c r="Y58" s="102"/>
      <c r="Z58" s="102"/>
      <c r="AA58" s="102"/>
      <c r="AB58" s="102"/>
      <c r="AC58" s="4"/>
    </row>
    <row r="59" spans="1:29" ht="14.45" customHeight="1" outlineLevel="1">
      <c r="A59" s="4"/>
      <c r="B59" s="4"/>
      <c r="C59" s="102"/>
      <c r="D59" s="102"/>
      <c r="E59" s="102"/>
      <c r="F59" s="4"/>
      <c r="G59" s="102"/>
      <c r="H59" s="102"/>
      <c r="I59" s="102"/>
      <c r="J59" s="102"/>
      <c r="K59" s="102"/>
      <c r="L59" s="102"/>
      <c r="M59" s="102"/>
      <c r="N59" s="102"/>
      <c r="O59" s="102"/>
      <c r="P59" s="102"/>
      <c r="Q59" s="102"/>
      <c r="R59" s="102"/>
      <c r="S59" s="102"/>
      <c r="T59" s="102"/>
      <c r="U59" s="102"/>
      <c r="V59" s="102"/>
      <c r="W59" s="102"/>
      <c r="X59" s="102"/>
      <c r="Y59" s="102"/>
      <c r="Z59" s="102"/>
      <c r="AA59" s="102"/>
      <c r="AB59" s="102"/>
      <c r="AC59" s="4"/>
    </row>
    <row r="60" spans="1:29" ht="14.45" customHeight="1" outlineLevel="1">
      <c r="A60" s="4"/>
      <c r="B60" s="4"/>
      <c r="C60" s="131"/>
      <c r="D60" s="131"/>
      <c r="E60" s="131"/>
      <c r="F60" s="7"/>
      <c r="G60" s="131"/>
      <c r="H60" s="131"/>
      <c r="I60" s="131"/>
      <c r="J60" s="131"/>
      <c r="K60" s="131"/>
      <c r="L60" s="131"/>
      <c r="M60" s="131"/>
      <c r="N60" s="131"/>
      <c r="O60" s="131"/>
      <c r="P60" s="131"/>
      <c r="Q60" s="131"/>
      <c r="R60" s="131"/>
      <c r="S60" s="131"/>
      <c r="T60" s="131"/>
      <c r="U60" s="131"/>
      <c r="V60" s="131"/>
      <c r="W60" s="131"/>
      <c r="X60" s="131"/>
      <c r="Y60" s="131"/>
      <c r="Z60" s="131"/>
      <c r="AA60" s="131"/>
      <c r="AB60" s="131"/>
      <c r="AC60" s="4"/>
    </row>
    <row r="61" spans="1:29" ht="14.45" customHeight="1" outlineLevel="1">
      <c r="A61" s="4"/>
      <c r="B61" s="4"/>
      <c r="C61" s="131"/>
      <c r="D61" s="131"/>
      <c r="E61" s="131"/>
      <c r="F61" s="7"/>
      <c r="G61" s="131"/>
      <c r="H61" s="131"/>
      <c r="I61" s="131"/>
      <c r="J61" s="131"/>
      <c r="K61" s="131"/>
      <c r="L61" s="131"/>
      <c r="M61" s="131"/>
      <c r="N61" s="131"/>
      <c r="O61" s="131"/>
      <c r="P61" s="131"/>
      <c r="Q61" s="131"/>
      <c r="R61" s="131"/>
      <c r="S61" s="131"/>
      <c r="T61" s="131"/>
      <c r="U61" s="131"/>
      <c r="V61" s="131"/>
      <c r="W61" s="131"/>
      <c r="X61" s="131"/>
      <c r="Y61" s="131"/>
      <c r="Z61" s="131"/>
      <c r="AA61" s="131"/>
      <c r="AB61" s="131"/>
      <c r="AC61" s="4"/>
    </row>
    <row r="62" spans="1:29" ht="14.45" customHeight="1" outlineLevel="1">
      <c r="A62" s="4"/>
      <c r="B62" s="4"/>
      <c r="C62" s="131"/>
      <c r="D62" s="131"/>
      <c r="E62" s="131"/>
      <c r="F62" s="7"/>
      <c r="G62" s="131"/>
      <c r="H62" s="131"/>
      <c r="I62" s="131"/>
      <c r="J62" s="131"/>
      <c r="K62" s="131"/>
      <c r="L62" s="131"/>
      <c r="M62" s="131"/>
      <c r="N62" s="131"/>
      <c r="O62" s="131"/>
      <c r="P62" s="131"/>
      <c r="Q62" s="131"/>
      <c r="R62" s="131"/>
      <c r="S62" s="131"/>
      <c r="T62" s="131"/>
      <c r="U62" s="131"/>
      <c r="V62" s="131"/>
      <c r="W62" s="131"/>
      <c r="X62" s="131"/>
      <c r="Y62" s="131"/>
      <c r="Z62" s="131"/>
      <c r="AA62" s="131"/>
      <c r="AB62" s="131"/>
      <c r="AC62" s="4"/>
    </row>
    <row r="63" spans="1:29" ht="14.45" customHeight="1" outlineLevel="1">
      <c r="A63" s="4"/>
      <c r="B63" s="4"/>
      <c r="C63" s="131"/>
      <c r="D63" s="131"/>
      <c r="E63" s="131"/>
      <c r="F63" s="7"/>
      <c r="G63" s="131"/>
      <c r="H63" s="131"/>
      <c r="I63" s="131"/>
      <c r="J63" s="131"/>
      <c r="K63" s="131"/>
      <c r="L63" s="131"/>
      <c r="M63" s="131"/>
      <c r="N63" s="131"/>
      <c r="O63" s="131"/>
      <c r="P63" s="131"/>
      <c r="Q63" s="131"/>
      <c r="R63" s="131"/>
      <c r="S63" s="131"/>
      <c r="T63" s="131"/>
      <c r="U63" s="131"/>
      <c r="V63" s="131"/>
      <c r="W63" s="131"/>
      <c r="X63" s="131"/>
      <c r="Y63" s="131"/>
      <c r="Z63" s="131"/>
      <c r="AA63" s="131"/>
      <c r="AB63" s="131"/>
      <c r="AC63" s="4"/>
    </row>
    <row r="64" spans="1:29" ht="14.45" customHeight="1" outlineLevel="1">
      <c r="A64" s="4"/>
      <c r="B64" s="4"/>
      <c r="C64" s="131"/>
      <c r="D64" s="131"/>
      <c r="E64" s="131"/>
      <c r="F64" s="7"/>
      <c r="G64" s="131"/>
      <c r="H64" s="131"/>
      <c r="I64" s="131"/>
      <c r="J64" s="131"/>
      <c r="K64" s="131"/>
      <c r="L64" s="131"/>
      <c r="M64" s="131"/>
      <c r="N64" s="131"/>
      <c r="O64" s="131"/>
      <c r="P64" s="131"/>
      <c r="Q64" s="131"/>
      <c r="R64" s="131"/>
      <c r="S64" s="131"/>
      <c r="T64" s="131"/>
      <c r="U64" s="131"/>
      <c r="V64" s="131"/>
      <c r="W64" s="131"/>
      <c r="X64" s="131"/>
      <c r="Y64" s="131"/>
      <c r="Z64" s="131"/>
      <c r="AA64" s="131"/>
      <c r="AB64" s="131"/>
      <c r="AC64" s="4"/>
    </row>
    <row r="65" spans="1:29" ht="14.45" customHeight="1" outlineLevel="1">
      <c r="A65" s="4"/>
      <c r="B65" s="4"/>
      <c r="C65" s="131"/>
      <c r="D65" s="131"/>
      <c r="E65" s="131"/>
      <c r="F65" s="7"/>
      <c r="G65" s="131"/>
      <c r="H65" s="131"/>
      <c r="I65" s="131"/>
      <c r="J65" s="131"/>
      <c r="K65" s="131"/>
      <c r="L65" s="131"/>
      <c r="M65" s="131"/>
      <c r="N65" s="131"/>
      <c r="O65" s="131"/>
      <c r="P65" s="131"/>
      <c r="Q65" s="131"/>
      <c r="R65" s="131"/>
      <c r="S65" s="131"/>
      <c r="T65" s="131"/>
      <c r="U65" s="131"/>
      <c r="V65" s="131"/>
      <c r="W65" s="131"/>
      <c r="X65" s="131"/>
      <c r="Y65" s="131"/>
      <c r="Z65" s="131"/>
      <c r="AA65" s="131"/>
      <c r="AB65" s="131"/>
      <c r="AC65" s="4"/>
    </row>
    <row r="66" spans="1:29" ht="14.45" customHeight="1" outlineLevel="1">
      <c r="A66" s="4"/>
      <c r="B66" s="4"/>
      <c r="C66" s="131"/>
      <c r="D66" s="131"/>
      <c r="E66" s="131"/>
      <c r="F66" s="7"/>
      <c r="G66" s="131"/>
      <c r="H66" s="131"/>
      <c r="I66" s="131"/>
      <c r="J66" s="131"/>
      <c r="K66" s="131"/>
      <c r="L66" s="131"/>
      <c r="M66" s="131"/>
      <c r="N66" s="131"/>
      <c r="O66" s="131"/>
      <c r="P66" s="131"/>
      <c r="Q66" s="131"/>
      <c r="R66" s="131"/>
      <c r="S66" s="131"/>
      <c r="T66" s="131"/>
      <c r="U66" s="131"/>
      <c r="V66" s="131"/>
      <c r="W66" s="131"/>
      <c r="X66" s="131"/>
      <c r="Y66" s="131"/>
      <c r="Z66" s="131"/>
      <c r="AA66" s="131"/>
      <c r="AB66" s="131"/>
      <c r="AC66" s="4"/>
    </row>
    <row r="67" spans="1:29" ht="14.45" customHeight="1" outlineLevel="1">
      <c r="A67" s="4"/>
      <c r="B67" s="4"/>
      <c r="C67" s="131"/>
      <c r="D67" s="131"/>
      <c r="E67" s="131"/>
      <c r="F67" s="7"/>
      <c r="G67" s="131"/>
      <c r="H67" s="131"/>
      <c r="I67" s="131"/>
      <c r="J67" s="131"/>
      <c r="K67" s="131"/>
      <c r="L67" s="131"/>
      <c r="M67" s="131"/>
      <c r="N67" s="131"/>
      <c r="O67" s="131"/>
      <c r="P67" s="131"/>
      <c r="Q67" s="131"/>
      <c r="R67" s="131"/>
      <c r="S67" s="131"/>
      <c r="T67" s="131"/>
      <c r="U67" s="131"/>
      <c r="V67" s="131"/>
      <c r="W67" s="131"/>
      <c r="X67" s="131"/>
      <c r="Y67" s="131"/>
      <c r="Z67" s="131"/>
      <c r="AA67" s="131"/>
      <c r="AB67" s="131"/>
      <c r="AC67" s="4"/>
    </row>
    <row r="68" spans="1:29" ht="14.45" customHeight="1" outlineLevel="1">
      <c r="A68" s="4"/>
      <c r="B68" s="4"/>
      <c r="C68" s="131"/>
      <c r="D68" s="131"/>
      <c r="E68" s="131"/>
      <c r="F68" s="7"/>
      <c r="G68" s="131"/>
      <c r="H68" s="131"/>
      <c r="I68" s="131"/>
      <c r="J68" s="131"/>
      <c r="K68" s="131"/>
      <c r="L68" s="131"/>
      <c r="M68" s="131"/>
      <c r="N68" s="131"/>
      <c r="O68" s="131"/>
      <c r="P68" s="131"/>
      <c r="Q68" s="131"/>
      <c r="R68" s="131"/>
      <c r="S68" s="131"/>
      <c r="T68" s="131"/>
      <c r="U68" s="131"/>
      <c r="V68" s="131"/>
      <c r="W68" s="131"/>
      <c r="X68" s="131"/>
      <c r="Y68" s="131"/>
      <c r="Z68" s="131"/>
      <c r="AA68" s="131"/>
      <c r="AB68" s="131"/>
      <c r="AC68" s="4"/>
    </row>
    <row r="69" spans="1:29" ht="14.45" customHeight="1" outlineLevel="1">
      <c r="A69" s="4"/>
      <c r="B69" s="4"/>
      <c r="C69" s="131"/>
      <c r="D69" s="131"/>
      <c r="E69" s="131"/>
      <c r="F69" s="7"/>
      <c r="G69" s="131"/>
      <c r="H69" s="131"/>
      <c r="I69" s="131"/>
      <c r="J69" s="131"/>
      <c r="K69" s="131"/>
      <c r="L69" s="131"/>
      <c r="M69" s="131"/>
      <c r="N69" s="131"/>
      <c r="O69" s="131"/>
      <c r="P69" s="131"/>
      <c r="Q69" s="131"/>
      <c r="R69" s="131"/>
      <c r="S69" s="131"/>
      <c r="T69" s="131"/>
      <c r="U69" s="131"/>
      <c r="V69" s="131"/>
      <c r="W69" s="131"/>
      <c r="X69" s="131"/>
      <c r="Y69" s="131"/>
      <c r="Z69" s="131"/>
      <c r="AA69" s="131"/>
      <c r="AB69" s="131"/>
      <c r="AC69" s="4"/>
    </row>
    <row r="70" spans="1:29" ht="14.45" customHeight="1" outlineLevel="1">
      <c r="A70" s="4"/>
      <c r="B70" s="4"/>
      <c r="C70" s="131"/>
      <c r="D70" s="131"/>
      <c r="E70" s="131"/>
      <c r="F70" s="7"/>
      <c r="G70" s="131"/>
      <c r="H70" s="131"/>
      <c r="I70" s="131"/>
      <c r="J70" s="131"/>
      <c r="K70" s="131"/>
      <c r="L70" s="131"/>
      <c r="M70" s="131"/>
      <c r="N70" s="131"/>
      <c r="O70" s="131"/>
      <c r="P70" s="131"/>
      <c r="Q70" s="131"/>
      <c r="R70" s="131"/>
      <c r="S70" s="131"/>
      <c r="T70" s="131"/>
      <c r="U70" s="131"/>
      <c r="V70" s="131"/>
      <c r="W70" s="131"/>
      <c r="X70" s="131"/>
      <c r="Y70" s="131"/>
      <c r="Z70" s="131"/>
      <c r="AA70" s="131"/>
      <c r="AB70" s="131"/>
      <c r="AC70" s="4"/>
    </row>
    <row r="71" spans="1:29" ht="14.45" customHeight="1" outlineLevel="1">
      <c r="A71" s="4"/>
      <c r="B71" s="4"/>
      <c r="C71" s="131"/>
      <c r="D71" s="131"/>
      <c r="E71" s="131"/>
      <c r="F71" s="7"/>
      <c r="G71" s="131"/>
      <c r="H71" s="131"/>
      <c r="I71" s="131"/>
      <c r="J71" s="131"/>
      <c r="K71" s="131"/>
      <c r="L71" s="131"/>
      <c r="M71" s="131"/>
      <c r="N71" s="131"/>
      <c r="O71" s="131"/>
      <c r="P71" s="131"/>
      <c r="Q71" s="131"/>
      <c r="R71" s="131"/>
      <c r="S71" s="131"/>
      <c r="T71" s="131"/>
      <c r="U71" s="131"/>
      <c r="V71" s="131"/>
      <c r="W71" s="131"/>
      <c r="X71" s="131"/>
      <c r="Y71" s="131"/>
      <c r="Z71" s="131"/>
      <c r="AA71" s="131"/>
      <c r="AB71" s="131"/>
      <c r="AC71" s="4"/>
    </row>
    <row r="72" spans="1:29" ht="14.45" customHeight="1" outlineLevel="1">
      <c r="A72" s="4"/>
      <c r="B72" s="4"/>
      <c r="C72" s="131"/>
      <c r="D72" s="131"/>
      <c r="E72" s="131"/>
      <c r="F72" s="7"/>
      <c r="G72" s="131"/>
      <c r="H72" s="131"/>
      <c r="I72" s="131"/>
      <c r="J72" s="131"/>
      <c r="K72" s="131"/>
      <c r="L72" s="131"/>
      <c r="M72" s="131"/>
      <c r="N72" s="131"/>
      <c r="O72" s="131"/>
      <c r="P72" s="131"/>
      <c r="Q72" s="131"/>
      <c r="R72" s="131"/>
      <c r="S72" s="131"/>
      <c r="T72" s="131"/>
      <c r="U72" s="131"/>
      <c r="V72" s="131"/>
      <c r="W72" s="131"/>
      <c r="X72" s="131"/>
      <c r="Y72" s="131"/>
      <c r="Z72" s="131"/>
      <c r="AA72" s="131"/>
      <c r="AB72" s="131"/>
      <c r="AC72" s="4"/>
    </row>
    <row r="73" spans="1:29" ht="14.45" customHeight="1" outlineLevel="1">
      <c r="A73" s="4"/>
      <c r="B73" s="4"/>
      <c r="C73" s="131"/>
      <c r="D73" s="131"/>
      <c r="E73" s="131"/>
      <c r="F73" s="7"/>
      <c r="G73" s="131"/>
      <c r="H73" s="131"/>
      <c r="I73" s="131"/>
      <c r="J73" s="131"/>
      <c r="K73" s="131"/>
      <c r="L73" s="131"/>
      <c r="M73" s="131"/>
      <c r="N73" s="131"/>
      <c r="O73" s="131"/>
      <c r="P73" s="131"/>
      <c r="Q73" s="131"/>
      <c r="R73" s="131"/>
      <c r="S73" s="131"/>
      <c r="T73" s="131"/>
      <c r="U73" s="131"/>
      <c r="V73" s="131"/>
      <c r="W73" s="131"/>
      <c r="X73" s="131"/>
      <c r="Y73" s="131"/>
      <c r="Z73" s="131"/>
      <c r="AA73" s="131"/>
      <c r="AB73" s="131"/>
      <c r="AC73" s="4"/>
    </row>
    <row r="74" spans="1:29" ht="14.45" customHeight="1" outlineLevel="1">
      <c r="A74" s="4"/>
      <c r="B74" s="4"/>
      <c r="C74" s="131"/>
      <c r="D74" s="131"/>
      <c r="E74" s="131"/>
      <c r="F74" s="7"/>
      <c r="G74" s="131"/>
      <c r="H74" s="131"/>
      <c r="I74" s="131"/>
      <c r="J74" s="131"/>
      <c r="K74" s="131"/>
      <c r="L74" s="131"/>
      <c r="M74" s="131"/>
      <c r="N74" s="131"/>
      <c r="O74" s="131"/>
      <c r="P74" s="131"/>
      <c r="Q74" s="131"/>
      <c r="R74" s="131"/>
      <c r="S74" s="131"/>
      <c r="T74" s="131"/>
      <c r="U74" s="131"/>
      <c r="V74" s="131"/>
      <c r="W74" s="131"/>
      <c r="X74" s="131"/>
      <c r="Y74" s="131"/>
      <c r="Z74" s="131"/>
      <c r="AA74" s="131"/>
      <c r="AB74" s="131"/>
      <c r="AC74" s="4"/>
    </row>
    <row r="75" spans="1:29" ht="14.45" customHeight="1" outlineLevel="1">
      <c r="A75" s="4"/>
      <c r="B75" s="4"/>
      <c r="C75" s="131"/>
      <c r="D75" s="131"/>
      <c r="E75" s="131"/>
      <c r="F75" s="7"/>
      <c r="G75" s="131"/>
      <c r="H75" s="131"/>
      <c r="I75" s="131"/>
      <c r="J75" s="131"/>
      <c r="K75" s="131"/>
      <c r="L75" s="131"/>
      <c r="M75" s="131"/>
      <c r="N75" s="131"/>
      <c r="O75" s="131"/>
      <c r="P75" s="131"/>
      <c r="Q75" s="131"/>
      <c r="R75" s="131"/>
      <c r="S75" s="131"/>
      <c r="T75" s="131"/>
      <c r="U75" s="131"/>
      <c r="V75" s="131"/>
      <c r="W75" s="131"/>
      <c r="X75" s="131"/>
      <c r="Y75" s="131"/>
      <c r="Z75" s="131"/>
      <c r="AA75" s="131"/>
      <c r="AB75" s="131"/>
      <c r="AC75" s="4"/>
    </row>
    <row r="76" spans="1:29" ht="14.45" customHeight="1" outlineLevel="1">
      <c r="A76" s="4"/>
      <c r="B76" s="4"/>
      <c r="C76" s="131"/>
      <c r="D76" s="131"/>
      <c r="E76" s="131"/>
      <c r="F76" s="7"/>
      <c r="G76" s="131"/>
      <c r="H76" s="131"/>
      <c r="I76" s="131"/>
      <c r="J76" s="131"/>
      <c r="K76" s="131"/>
      <c r="L76" s="131"/>
      <c r="M76" s="131"/>
      <c r="N76" s="131"/>
      <c r="O76" s="131"/>
      <c r="P76" s="131"/>
      <c r="Q76" s="131"/>
      <c r="R76" s="131"/>
      <c r="S76" s="131"/>
      <c r="T76" s="131"/>
      <c r="U76" s="131"/>
      <c r="V76" s="131"/>
      <c r="W76" s="131"/>
      <c r="X76" s="131"/>
      <c r="Y76" s="131"/>
      <c r="Z76" s="131"/>
      <c r="AA76" s="131"/>
      <c r="AB76" s="131"/>
      <c r="AC76" s="4"/>
    </row>
    <row r="77" spans="1:29" ht="14.45" customHeight="1" outlineLevel="1">
      <c r="A77" s="4"/>
      <c r="B77" s="4"/>
      <c r="C77" s="131"/>
      <c r="D77" s="131"/>
      <c r="E77" s="131"/>
      <c r="F77" s="7"/>
      <c r="G77" s="131"/>
      <c r="H77" s="131"/>
      <c r="I77" s="131"/>
      <c r="J77" s="131"/>
      <c r="K77" s="131"/>
      <c r="L77" s="131"/>
      <c r="M77" s="131"/>
      <c r="N77" s="131"/>
      <c r="O77" s="131"/>
      <c r="P77" s="131"/>
      <c r="Q77" s="131"/>
      <c r="R77" s="131"/>
      <c r="S77" s="131"/>
      <c r="T77" s="131"/>
      <c r="U77" s="131"/>
      <c r="V77" s="131"/>
      <c r="W77" s="131"/>
      <c r="X77" s="131"/>
      <c r="Y77" s="131"/>
      <c r="Z77" s="131"/>
      <c r="AA77" s="131"/>
      <c r="AB77" s="131"/>
      <c r="AC77" s="4"/>
    </row>
    <row r="78" spans="1:29" ht="14.45" customHeight="1" outlineLevel="1">
      <c r="A78" s="4"/>
      <c r="B78" s="4"/>
      <c r="C78" s="131"/>
      <c r="D78" s="131"/>
      <c r="E78" s="131"/>
      <c r="F78" s="7"/>
      <c r="G78" s="131"/>
      <c r="H78" s="131"/>
      <c r="I78" s="131"/>
      <c r="J78" s="131"/>
      <c r="K78" s="131"/>
      <c r="L78" s="131"/>
      <c r="M78" s="131"/>
      <c r="N78" s="131"/>
      <c r="O78" s="131"/>
      <c r="P78" s="131"/>
      <c r="Q78" s="131"/>
      <c r="R78" s="131"/>
      <c r="S78" s="131"/>
      <c r="T78" s="131"/>
      <c r="U78" s="131"/>
      <c r="V78" s="131"/>
      <c r="W78" s="131"/>
      <c r="X78" s="131"/>
      <c r="Y78" s="131"/>
      <c r="Z78" s="131"/>
      <c r="AA78" s="131"/>
      <c r="AB78" s="131"/>
      <c r="AC78" s="4"/>
    </row>
    <row r="79" spans="1:29" ht="14.45" customHeight="1" outlineLevel="1">
      <c r="A79" s="4"/>
      <c r="B79" s="4"/>
      <c r="C79" s="131"/>
      <c r="D79" s="131"/>
      <c r="E79" s="131"/>
      <c r="F79" s="7"/>
      <c r="G79" s="131"/>
      <c r="H79" s="131"/>
      <c r="I79" s="131"/>
      <c r="J79" s="131"/>
      <c r="K79" s="131"/>
      <c r="L79" s="131"/>
      <c r="M79" s="131"/>
      <c r="N79" s="131"/>
      <c r="O79" s="131"/>
      <c r="P79" s="131"/>
      <c r="Q79" s="131"/>
      <c r="R79" s="131"/>
      <c r="S79" s="131"/>
      <c r="T79" s="131"/>
      <c r="U79" s="131"/>
      <c r="V79" s="131"/>
      <c r="W79" s="131"/>
      <c r="X79" s="131"/>
      <c r="Y79" s="131"/>
      <c r="Z79" s="131"/>
      <c r="AA79" s="131"/>
      <c r="AB79" s="131"/>
      <c r="AC79" s="4"/>
    </row>
    <row r="80" spans="1:29" ht="14.45" customHeight="1" outlineLevel="1">
      <c r="A80" s="4"/>
      <c r="B80" s="4"/>
      <c r="C80" s="131"/>
      <c r="D80" s="131"/>
      <c r="E80" s="131"/>
      <c r="F80" s="7"/>
      <c r="G80" s="131"/>
      <c r="H80" s="131"/>
      <c r="I80" s="131"/>
      <c r="J80" s="131"/>
      <c r="K80" s="131"/>
      <c r="L80" s="131"/>
      <c r="M80" s="131"/>
      <c r="N80" s="131"/>
      <c r="O80" s="131"/>
      <c r="P80" s="131"/>
      <c r="Q80" s="131"/>
      <c r="R80" s="131"/>
      <c r="S80" s="131"/>
      <c r="T80" s="131"/>
      <c r="U80" s="131"/>
      <c r="V80" s="131"/>
      <c r="W80" s="131"/>
      <c r="X80" s="131"/>
      <c r="Y80" s="131"/>
      <c r="Z80" s="131"/>
      <c r="AA80" s="131"/>
      <c r="AB80" s="131"/>
      <c r="AC80" s="4"/>
    </row>
    <row r="81" spans="1:29" ht="14.45" customHeight="1" outlineLevel="1">
      <c r="A81" s="4"/>
      <c r="B81" s="4"/>
      <c r="C81" s="131"/>
      <c r="D81" s="131"/>
      <c r="E81" s="131"/>
      <c r="F81" s="7"/>
      <c r="G81" s="131"/>
      <c r="H81" s="131"/>
      <c r="I81" s="131"/>
      <c r="J81" s="131"/>
      <c r="K81" s="131"/>
      <c r="L81" s="131"/>
      <c r="M81" s="131"/>
      <c r="N81" s="131"/>
      <c r="O81" s="131"/>
      <c r="P81" s="131"/>
      <c r="Q81" s="131"/>
      <c r="R81" s="131"/>
      <c r="S81" s="131"/>
      <c r="T81" s="131"/>
      <c r="U81" s="131"/>
      <c r="V81" s="131"/>
      <c r="W81" s="131"/>
      <c r="X81" s="131"/>
      <c r="Y81" s="131"/>
      <c r="Z81" s="131"/>
      <c r="AA81" s="131"/>
      <c r="AB81" s="131"/>
      <c r="AC81" s="4"/>
    </row>
    <row r="82" spans="1:29" ht="14.45" customHeight="1" outlineLevel="1">
      <c r="A82" s="4"/>
      <c r="B82" s="4"/>
      <c r="C82" s="131"/>
      <c r="D82" s="131"/>
      <c r="E82" s="131"/>
      <c r="F82" s="7"/>
      <c r="G82" s="131"/>
      <c r="H82" s="131"/>
      <c r="I82" s="131"/>
      <c r="J82" s="131"/>
      <c r="K82" s="131"/>
      <c r="L82" s="131"/>
      <c r="M82" s="131"/>
      <c r="N82" s="131"/>
      <c r="O82" s="131"/>
      <c r="P82" s="131"/>
      <c r="Q82" s="131"/>
      <c r="R82" s="131"/>
      <c r="S82" s="131"/>
      <c r="T82" s="131"/>
      <c r="U82" s="131"/>
      <c r="V82" s="131"/>
      <c r="W82" s="131"/>
      <c r="X82" s="131"/>
      <c r="Y82" s="131"/>
      <c r="Z82" s="131"/>
      <c r="AA82" s="131"/>
      <c r="AB82" s="131"/>
      <c r="AC82" s="4"/>
    </row>
    <row r="83" spans="1:29" ht="14.45" customHeight="1" outlineLevel="1">
      <c r="A83" s="4"/>
      <c r="B83" s="4"/>
      <c r="C83" s="131"/>
      <c r="D83" s="131"/>
      <c r="E83" s="131"/>
      <c r="F83" s="7"/>
      <c r="G83" s="131"/>
      <c r="H83" s="131"/>
      <c r="I83" s="131"/>
      <c r="J83" s="131"/>
      <c r="K83" s="131"/>
      <c r="L83" s="131"/>
      <c r="M83" s="131"/>
      <c r="N83" s="131"/>
      <c r="O83" s="131"/>
      <c r="P83" s="131"/>
      <c r="Q83" s="131"/>
      <c r="R83" s="131"/>
      <c r="S83" s="131"/>
      <c r="T83" s="131"/>
      <c r="U83" s="131"/>
      <c r="V83" s="131"/>
      <c r="W83" s="131"/>
      <c r="X83" s="131"/>
      <c r="Y83" s="131"/>
      <c r="Z83" s="131"/>
      <c r="AA83" s="131"/>
      <c r="AB83" s="131"/>
      <c r="AC83" s="4"/>
    </row>
    <row r="84" spans="1:29" ht="14.45" customHeight="1" outlineLevel="1">
      <c r="A84" s="4"/>
      <c r="B84" s="4"/>
      <c r="C84" s="4"/>
      <c r="D84" s="4"/>
      <c r="E84" s="4"/>
      <c r="F84" s="4"/>
      <c r="G84" s="4"/>
      <c r="H84" s="4"/>
      <c r="I84" s="4"/>
      <c r="J84" s="4"/>
      <c r="K84" s="4"/>
      <c r="L84" s="4"/>
      <c r="M84" s="4"/>
      <c r="N84" s="4"/>
      <c r="O84" s="4"/>
      <c r="P84" s="4"/>
      <c r="Q84" s="4"/>
      <c r="R84" s="4"/>
      <c r="S84" s="4"/>
      <c r="T84" s="4"/>
      <c r="U84" s="4"/>
      <c r="V84" s="4"/>
      <c r="W84" s="4"/>
      <c r="X84" s="4"/>
      <c r="Y84" s="4"/>
      <c r="Z84" s="4"/>
      <c r="AA84" s="4"/>
      <c r="AB84" s="4"/>
      <c r="AC84" s="4"/>
    </row>
    <row r="85" spans="1:29" outlineLevel="1">
      <c r="A85" s="4"/>
      <c r="B85" s="4"/>
      <c r="C85" s="7"/>
      <c r="D85" s="7"/>
      <c r="E85" s="7"/>
      <c r="F85" s="7"/>
      <c r="G85" s="7"/>
      <c r="H85" s="7"/>
      <c r="I85" s="7"/>
      <c r="J85" s="7"/>
      <c r="K85" s="7"/>
      <c r="L85" s="7"/>
      <c r="M85" s="7"/>
      <c r="N85" s="7"/>
      <c r="O85" s="7"/>
      <c r="P85" s="7"/>
      <c r="Q85" s="7"/>
      <c r="R85" s="7"/>
      <c r="S85" s="7"/>
      <c r="T85" s="7"/>
      <c r="U85" s="7"/>
      <c r="V85" s="7"/>
      <c r="W85" s="7"/>
      <c r="X85" s="7"/>
      <c r="Y85" s="7"/>
      <c r="Z85" s="7"/>
      <c r="AA85" s="7"/>
      <c r="AB85" s="7"/>
      <c r="AC85" s="4"/>
    </row>
    <row r="86" spans="1:29" outlineLevel="1">
      <c r="A86" s="4"/>
      <c r="B86" s="4"/>
      <c r="C86" s="7"/>
      <c r="D86" s="7"/>
      <c r="E86" s="7"/>
      <c r="F86" s="7"/>
      <c r="G86" s="7"/>
      <c r="H86" s="7"/>
      <c r="I86" s="7"/>
      <c r="J86" s="7"/>
      <c r="K86" s="7"/>
      <c r="L86" s="7"/>
      <c r="M86" s="7"/>
      <c r="N86" s="7"/>
      <c r="O86" s="7"/>
      <c r="P86" s="7"/>
      <c r="Q86" s="7"/>
      <c r="R86" s="7"/>
      <c r="S86" s="7"/>
      <c r="T86" s="7"/>
      <c r="U86" s="7"/>
      <c r="V86" s="7"/>
      <c r="W86" s="7"/>
      <c r="X86" s="7"/>
      <c r="Y86" s="7"/>
      <c r="Z86" s="7"/>
      <c r="AA86" s="7"/>
      <c r="AB86" s="7"/>
      <c r="AC86" s="4"/>
    </row>
    <row r="87" spans="1:29" outlineLevel="1">
      <c r="A87" s="4"/>
      <c r="B87" s="4"/>
      <c r="C87" s="7"/>
      <c r="D87" s="7"/>
      <c r="E87" s="7"/>
      <c r="F87" s="7"/>
      <c r="G87" s="7"/>
      <c r="H87" s="7"/>
      <c r="I87" s="7"/>
      <c r="J87" s="7"/>
      <c r="K87" s="7"/>
      <c r="L87" s="7"/>
      <c r="M87" s="7"/>
      <c r="N87" s="7"/>
      <c r="O87" s="7"/>
      <c r="P87" s="7"/>
      <c r="Q87" s="7"/>
      <c r="R87" s="7"/>
      <c r="S87" s="7"/>
      <c r="T87" s="7"/>
      <c r="U87" s="7"/>
      <c r="V87" s="7"/>
      <c r="W87" s="7"/>
      <c r="X87" s="7"/>
      <c r="Y87" s="7"/>
      <c r="Z87" s="7"/>
      <c r="AA87" s="7"/>
      <c r="AB87" s="7"/>
      <c r="AC87" s="4"/>
    </row>
    <row r="88" spans="1:29" outlineLevel="1">
      <c r="A88" s="4"/>
      <c r="B88" s="4"/>
      <c r="C88" s="7"/>
      <c r="E88" s="7"/>
      <c r="F88" s="7"/>
      <c r="G88" s="7"/>
      <c r="H88" s="7"/>
      <c r="I88" s="7"/>
      <c r="J88" s="7"/>
      <c r="K88" s="7"/>
      <c r="L88" s="7"/>
      <c r="M88" s="7"/>
      <c r="N88" s="7"/>
      <c r="O88" s="7"/>
      <c r="P88" s="7"/>
      <c r="Q88" s="7"/>
      <c r="R88" s="7"/>
      <c r="S88" s="7"/>
      <c r="T88" s="7"/>
      <c r="U88" s="7"/>
      <c r="V88" s="7"/>
      <c r="W88" s="7"/>
      <c r="X88" s="7"/>
      <c r="Y88" s="7"/>
      <c r="Z88" s="7"/>
      <c r="AA88" s="7"/>
      <c r="AB88" s="7"/>
      <c r="AC88" s="4"/>
    </row>
    <row r="89" spans="1:29" outlineLevel="1">
      <c r="A89" s="4"/>
      <c r="B89" s="4"/>
      <c r="C89" s="7"/>
      <c r="D89" s="7"/>
      <c r="E89" s="7"/>
      <c r="F89" s="7"/>
      <c r="G89" s="7"/>
      <c r="H89" s="7"/>
      <c r="I89" s="7"/>
      <c r="J89" s="7"/>
      <c r="K89" s="7"/>
      <c r="L89" s="7"/>
      <c r="M89" s="7"/>
      <c r="N89" s="7"/>
      <c r="O89" s="7"/>
      <c r="P89" s="7"/>
      <c r="Q89" s="7"/>
      <c r="R89" s="7"/>
      <c r="S89" s="7"/>
      <c r="T89" s="7"/>
      <c r="U89" s="7"/>
      <c r="V89" s="7"/>
      <c r="W89" s="7"/>
      <c r="X89" s="7"/>
      <c r="Y89" s="7"/>
      <c r="Z89" s="7"/>
      <c r="AA89" s="7"/>
      <c r="AB89" s="7"/>
      <c r="AC89" s="4"/>
    </row>
    <row r="90" spans="1:29" outlineLevel="1">
      <c r="A90" s="4"/>
      <c r="B90" s="4"/>
      <c r="C90" s="7"/>
      <c r="D90" s="7"/>
      <c r="E90" s="7"/>
      <c r="F90" s="7"/>
      <c r="G90" s="7"/>
      <c r="H90" s="7"/>
      <c r="I90" s="7"/>
      <c r="J90" s="7"/>
      <c r="K90" s="7"/>
      <c r="L90" s="7"/>
      <c r="M90" s="7"/>
      <c r="N90" s="7"/>
      <c r="O90" s="7"/>
      <c r="P90" s="7"/>
      <c r="Q90" s="7"/>
      <c r="R90" s="7"/>
      <c r="S90" s="7"/>
      <c r="T90" s="7"/>
      <c r="U90" s="7"/>
      <c r="V90" s="7"/>
      <c r="W90" s="7"/>
      <c r="X90" s="7"/>
      <c r="Y90" s="7"/>
      <c r="Z90" s="7"/>
      <c r="AA90" s="7"/>
      <c r="AB90" s="7"/>
      <c r="AC90" s="4"/>
    </row>
    <row r="91" spans="1:29" outlineLevel="1">
      <c r="A91" s="4"/>
      <c r="B91" s="4"/>
      <c r="C91" s="7"/>
      <c r="D91" s="7"/>
      <c r="E91" s="7"/>
      <c r="F91" s="7"/>
      <c r="G91" s="7"/>
      <c r="H91" s="7"/>
      <c r="I91" s="7"/>
      <c r="J91" s="7"/>
      <c r="K91" s="7"/>
      <c r="L91" s="7"/>
      <c r="M91" s="7"/>
      <c r="N91" s="7"/>
      <c r="O91" s="7"/>
      <c r="P91" s="7"/>
      <c r="Q91" s="7"/>
      <c r="R91" s="7"/>
      <c r="S91" s="7"/>
      <c r="T91" s="7"/>
      <c r="U91" s="7"/>
      <c r="V91" s="7"/>
      <c r="W91" s="7"/>
      <c r="X91" s="7"/>
      <c r="Y91" s="7"/>
      <c r="Z91" s="7"/>
      <c r="AA91" s="7"/>
      <c r="AB91" s="7"/>
      <c r="AC91" s="4"/>
    </row>
    <row r="92" spans="1:29" outlineLevel="1">
      <c r="A92" s="4"/>
      <c r="B92" s="4"/>
      <c r="C92" s="7"/>
      <c r="D92" s="7"/>
      <c r="E92" s="7"/>
      <c r="F92" s="7"/>
      <c r="G92" s="7"/>
      <c r="H92" s="7"/>
      <c r="I92" s="7"/>
      <c r="J92" s="7"/>
      <c r="K92" s="7"/>
      <c r="L92" s="7"/>
      <c r="M92" s="7"/>
      <c r="N92" s="7"/>
      <c r="O92" s="7"/>
      <c r="P92" s="7"/>
      <c r="Q92" s="7"/>
      <c r="R92" s="7"/>
      <c r="S92" s="7"/>
      <c r="T92" s="7"/>
      <c r="U92" s="7"/>
      <c r="V92" s="7"/>
      <c r="W92" s="7"/>
      <c r="X92" s="7"/>
      <c r="Y92" s="7"/>
      <c r="Z92" s="7"/>
      <c r="AA92" s="7"/>
      <c r="AB92" s="7"/>
      <c r="AC92" s="4"/>
    </row>
    <row r="93" spans="1:29" outlineLevel="1">
      <c r="A93" s="4"/>
      <c r="B93" s="4"/>
      <c r="C93" s="7"/>
      <c r="D93" s="7"/>
      <c r="E93" s="7"/>
      <c r="F93" s="7"/>
      <c r="G93" s="7"/>
      <c r="H93" s="7"/>
      <c r="I93" s="7"/>
      <c r="J93" s="7"/>
      <c r="K93" s="7"/>
      <c r="L93" s="7"/>
      <c r="M93" s="7"/>
      <c r="N93" s="7"/>
      <c r="O93" s="7"/>
      <c r="P93" s="7"/>
      <c r="Q93" s="7"/>
      <c r="R93" s="7"/>
      <c r="S93" s="7"/>
      <c r="T93" s="7"/>
      <c r="U93" s="7"/>
      <c r="V93" s="7"/>
      <c r="W93" s="7"/>
      <c r="X93" s="7"/>
      <c r="Y93" s="7"/>
      <c r="Z93" s="7"/>
      <c r="AA93" s="7"/>
      <c r="AB93" s="7"/>
      <c r="AC93" s="4"/>
    </row>
    <row r="94" spans="1:29" outlineLevel="1">
      <c r="A94" s="4"/>
      <c r="B94" s="4"/>
      <c r="C94" s="7"/>
      <c r="D94" s="7"/>
      <c r="E94" s="7"/>
      <c r="F94" s="7"/>
      <c r="G94" s="7"/>
      <c r="H94" s="7"/>
      <c r="I94" s="7"/>
      <c r="J94" s="7"/>
      <c r="K94" s="7"/>
      <c r="L94" s="7"/>
      <c r="M94" s="7"/>
      <c r="N94" s="7"/>
      <c r="O94" s="7"/>
      <c r="P94" s="7"/>
      <c r="Q94" s="7"/>
      <c r="R94" s="7"/>
      <c r="S94" s="7"/>
      <c r="T94" s="7"/>
      <c r="U94" s="7"/>
      <c r="V94" s="7"/>
      <c r="W94" s="7"/>
      <c r="X94" s="7"/>
      <c r="Y94" s="7"/>
      <c r="Z94" s="7"/>
      <c r="AA94" s="7"/>
      <c r="AB94" s="7"/>
      <c r="AC94" s="4"/>
    </row>
    <row r="95" spans="1:29" outlineLevel="1">
      <c r="A95" s="4"/>
      <c r="B95" s="4"/>
      <c r="C95" s="7"/>
      <c r="D95" s="7"/>
      <c r="E95" s="7"/>
      <c r="F95" s="7"/>
      <c r="G95" s="7"/>
      <c r="H95" s="7"/>
      <c r="I95" s="7"/>
      <c r="J95" s="7"/>
      <c r="K95" s="7"/>
      <c r="L95" s="7"/>
      <c r="M95" s="7"/>
      <c r="N95" s="7"/>
      <c r="O95" s="7"/>
      <c r="P95" s="7"/>
      <c r="Q95" s="7"/>
      <c r="R95" s="7"/>
      <c r="S95" s="7"/>
      <c r="T95" s="7"/>
      <c r="U95" s="7"/>
      <c r="V95" s="7"/>
      <c r="W95" s="7"/>
      <c r="X95" s="7"/>
      <c r="Y95" s="7"/>
      <c r="Z95" s="7"/>
      <c r="AA95" s="7"/>
      <c r="AB95" s="7"/>
      <c r="AC95" s="4"/>
    </row>
    <row r="96" spans="1:29" outlineLevel="1">
      <c r="A96" s="4"/>
      <c r="B96" s="4"/>
      <c r="C96" s="7"/>
      <c r="D96" s="7"/>
      <c r="E96" s="7"/>
      <c r="F96" s="7"/>
      <c r="G96" s="7"/>
      <c r="H96" s="7"/>
      <c r="I96" s="7"/>
      <c r="J96" s="7"/>
      <c r="K96" s="7"/>
      <c r="L96" s="7"/>
      <c r="M96" s="7"/>
      <c r="N96" s="7"/>
      <c r="O96" s="7"/>
      <c r="P96" s="7"/>
      <c r="Q96" s="7"/>
      <c r="R96" s="7"/>
      <c r="S96" s="7"/>
      <c r="T96" s="7"/>
      <c r="U96" s="7"/>
      <c r="V96" s="7"/>
      <c r="W96" s="7"/>
      <c r="X96" s="7"/>
      <c r="Y96" s="7"/>
      <c r="Z96" s="7"/>
      <c r="AA96" s="7"/>
      <c r="AB96" s="7"/>
      <c r="AC96" s="4"/>
    </row>
    <row r="97" spans="1:29" outlineLevel="1">
      <c r="A97" s="4"/>
      <c r="B97" s="4"/>
      <c r="C97" s="7"/>
      <c r="D97" s="7"/>
      <c r="E97" s="7"/>
      <c r="F97" s="7"/>
      <c r="G97" s="7"/>
      <c r="H97" s="7"/>
      <c r="I97" s="7"/>
      <c r="J97" s="7"/>
      <c r="K97" s="7"/>
      <c r="L97" s="7"/>
      <c r="M97" s="7"/>
      <c r="N97" s="7"/>
      <c r="O97" s="7"/>
      <c r="P97" s="7"/>
      <c r="Q97" s="7"/>
      <c r="R97" s="7"/>
      <c r="S97" s="7"/>
      <c r="T97" s="7"/>
      <c r="U97" s="7"/>
      <c r="V97" s="7"/>
      <c r="W97" s="7"/>
      <c r="X97" s="7"/>
      <c r="Y97" s="7"/>
      <c r="Z97" s="7"/>
      <c r="AA97" s="7"/>
      <c r="AB97" s="7"/>
      <c r="AC97" s="4"/>
    </row>
    <row r="98" spans="1:29" outlineLevel="1">
      <c r="A98" s="4"/>
      <c r="B98" s="4"/>
      <c r="C98" s="7"/>
      <c r="D98" s="7"/>
      <c r="E98" s="7"/>
      <c r="F98" s="7"/>
      <c r="G98" s="7"/>
      <c r="H98" s="7"/>
      <c r="I98" s="7"/>
      <c r="J98" s="7"/>
      <c r="K98" s="7"/>
      <c r="L98" s="7"/>
      <c r="M98" s="7"/>
      <c r="N98" s="7"/>
      <c r="O98" s="7"/>
      <c r="P98" s="7"/>
      <c r="Q98" s="7"/>
      <c r="R98" s="7"/>
      <c r="S98" s="7"/>
      <c r="T98" s="7"/>
      <c r="U98" s="7"/>
      <c r="V98" s="7"/>
      <c r="W98" s="7"/>
      <c r="X98" s="7"/>
      <c r="Y98" s="7"/>
      <c r="Z98" s="7"/>
      <c r="AA98" s="7"/>
      <c r="AB98" s="7"/>
      <c r="AC98" s="4"/>
    </row>
    <row r="99" spans="1:29" outlineLevel="1">
      <c r="A99" s="4"/>
      <c r="B99" s="4"/>
      <c r="C99" s="7"/>
      <c r="D99" s="7"/>
      <c r="E99" s="7"/>
      <c r="F99" s="7"/>
      <c r="G99" s="7"/>
      <c r="H99" s="7"/>
      <c r="I99" s="7"/>
      <c r="J99" s="7"/>
      <c r="K99" s="7"/>
      <c r="L99" s="7"/>
      <c r="M99" s="7"/>
      <c r="N99" s="7"/>
      <c r="O99" s="7"/>
      <c r="P99" s="7"/>
      <c r="Q99" s="7"/>
      <c r="R99" s="7"/>
      <c r="S99" s="7"/>
      <c r="T99" s="7"/>
      <c r="U99" s="7"/>
      <c r="V99" s="7"/>
      <c r="W99" s="7"/>
      <c r="X99" s="7"/>
      <c r="Y99" s="7"/>
      <c r="Z99" s="7"/>
      <c r="AA99" s="7"/>
      <c r="AB99" s="7"/>
      <c r="AC99" s="4"/>
    </row>
    <row r="100" spans="1:29" outlineLevel="1">
      <c r="A100" s="4"/>
      <c r="B100" s="4"/>
      <c r="C100" s="7"/>
      <c r="D100" s="7"/>
      <c r="E100" s="7"/>
      <c r="F100" s="7"/>
      <c r="G100" s="7"/>
      <c r="H100" s="7"/>
      <c r="I100" s="7"/>
      <c r="J100" s="7"/>
      <c r="K100" s="7"/>
      <c r="L100" s="7"/>
      <c r="M100" s="7"/>
      <c r="N100" s="7"/>
      <c r="O100" s="7"/>
      <c r="P100" s="7"/>
      <c r="Q100" s="7"/>
      <c r="R100" s="7"/>
      <c r="S100" s="7"/>
      <c r="T100" s="7"/>
      <c r="U100" s="7"/>
      <c r="V100" s="7"/>
      <c r="W100" s="7"/>
      <c r="X100" s="7"/>
      <c r="Y100" s="7"/>
      <c r="Z100" s="7"/>
      <c r="AA100" s="7"/>
      <c r="AB100" s="7"/>
      <c r="AC100" s="4"/>
    </row>
    <row r="101" spans="1:29" outlineLevel="1">
      <c r="A101" s="4"/>
      <c r="B101" s="4"/>
      <c r="C101" s="7"/>
      <c r="D101" s="7"/>
      <c r="E101" s="7"/>
      <c r="F101" s="7"/>
      <c r="G101" s="7"/>
      <c r="H101" s="7"/>
      <c r="I101" s="7"/>
      <c r="J101" s="7"/>
      <c r="K101" s="7"/>
      <c r="L101" s="7"/>
      <c r="M101" s="7"/>
      <c r="N101" s="7"/>
      <c r="O101" s="7"/>
      <c r="P101" s="7"/>
      <c r="Q101" s="7"/>
      <c r="R101" s="7"/>
      <c r="S101" s="7"/>
      <c r="T101" s="7"/>
      <c r="U101" s="7"/>
      <c r="V101" s="7"/>
      <c r="W101" s="7"/>
      <c r="X101" s="7"/>
      <c r="Y101" s="7"/>
      <c r="Z101" s="7"/>
      <c r="AA101" s="7"/>
      <c r="AB101" s="7"/>
      <c r="AC101" s="4"/>
    </row>
    <row r="102" spans="1:29" outlineLevel="1">
      <c r="A102" s="4"/>
      <c r="B102" s="4"/>
      <c r="C102" s="7"/>
      <c r="D102" s="7"/>
      <c r="E102" s="7"/>
      <c r="F102" s="7"/>
      <c r="G102" s="7"/>
      <c r="H102" s="7"/>
      <c r="I102" s="7"/>
      <c r="J102" s="7"/>
      <c r="K102" s="7"/>
      <c r="L102" s="7"/>
      <c r="M102" s="7"/>
      <c r="N102" s="7"/>
      <c r="O102" s="7"/>
      <c r="P102" s="7"/>
      <c r="Q102" s="7"/>
      <c r="R102" s="7"/>
      <c r="S102" s="7"/>
      <c r="T102" s="7"/>
      <c r="U102" s="7"/>
      <c r="V102" s="7"/>
      <c r="W102" s="7"/>
      <c r="X102" s="7"/>
      <c r="Y102" s="7"/>
      <c r="Z102" s="7"/>
      <c r="AA102" s="7"/>
      <c r="AB102" s="7"/>
      <c r="AC102" s="4"/>
    </row>
    <row r="103" spans="1:29" outlineLevel="1">
      <c r="A103" s="4"/>
      <c r="B103" s="4"/>
      <c r="C103" s="7"/>
      <c r="D103" s="7"/>
      <c r="E103" s="7"/>
      <c r="F103" s="7"/>
      <c r="G103" s="7"/>
      <c r="H103" s="7"/>
      <c r="I103" s="7"/>
      <c r="J103" s="7"/>
      <c r="K103" s="7"/>
      <c r="L103" s="7"/>
      <c r="M103" s="7"/>
      <c r="N103" s="7"/>
      <c r="O103" s="7"/>
      <c r="P103" s="7"/>
      <c r="Q103" s="7"/>
      <c r="R103" s="7"/>
      <c r="S103" s="7"/>
      <c r="T103" s="7"/>
      <c r="U103" s="7"/>
      <c r="V103" s="7"/>
      <c r="W103" s="7"/>
      <c r="X103" s="7"/>
      <c r="Y103" s="7"/>
      <c r="Z103" s="7"/>
      <c r="AA103" s="7"/>
      <c r="AB103" s="7"/>
      <c r="AC103" s="4"/>
    </row>
    <row r="104" spans="1:29" outlineLevel="1">
      <c r="A104" s="4"/>
      <c r="B104" s="4"/>
      <c r="C104" s="7"/>
      <c r="D104" s="7"/>
      <c r="E104" s="7"/>
      <c r="F104" s="7"/>
      <c r="G104" s="7"/>
      <c r="H104" s="7"/>
      <c r="I104" s="7"/>
      <c r="J104" s="7"/>
      <c r="K104" s="7"/>
      <c r="L104" s="7"/>
      <c r="M104" s="7"/>
      <c r="N104" s="7"/>
      <c r="O104" s="7"/>
      <c r="P104" s="7"/>
      <c r="Q104" s="7"/>
      <c r="R104" s="7"/>
      <c r="S104" s="7"/>
      <c r="T104" s="7"/>
      <c r="U104" s="7"/>
      <c r="V104" s="7"/>
      <c r="W104" s="7"/>
      <c r="X104" s="7"/>
      <c r="Y104" s="7"/>
      <c r="Z104" s="7"/>
      <c r="AA104" s="7"/>
      <c r="AB104" s="7"/>
      <c r="AC104" s="4"/>
    </row>
    <row r="105" spans="1:29" outlineLevel="1">
      <c r="A105" s="4"/>
      <c r="B105" s="4"/>
      <c r="C105" s="4"/>
      <c r="D105" s="4"/>
      <c r="E105" s="4"/>
      <c r="F105" s="4"/>
      <c r="G105" s="4"/>
      <c r="H105" s="4"/>
      <c r="I105" s="4"/>
      <c r="J105" s="4"/>
      <c r="K105" s="4"/>
      <c r="L105" s="4"/>
      <c r="M105" s="4"/>
      <c r="N105" s="4"/>
      <c r="O105" s="4"/>
      <c r="P105" s="4"/>
      <c r="Q105" s="4"/>
      <c r="R105" s="4"/>
      <c r="S105" s="4"/>
      <c r="T105" s="4"/>
      <c r="U105" s="4"/>
      <c r="V105" s="4"/>
      <c r="W105" s="4"/>
      <c r="X105" s="4"/>
      <c r="Y105" s="4"/>
      <c r="Z105" s="4"/>
      <c r="AA105" s="4"/>
      <c r="AB105" s="4"/>
      <c r="AC105" s="4"/>
    </row>
    <row r="106" spans="1:29" ht="18.600000000000001" outlineLevel="1">
      <c r="A106" s="4"/>
      <c r="B106" s="4"/>
      <c r="C106" s="102" t="s">
        <v>1599</v>
      </c>
      <c r="D106" s="102"/>
      <c r="E106" s="102"/>
      <c r="F106" s="102"/>
      <c r="G106" s="102"/>
      <c r="H106" s="102"/>
      <c r="I106" s="102"/>
      <c r="J106" s="102"/>
      <c r="K106" s="102"/>
      <c r="L106" s="102"/>
      <c r="M106" s="102"/>
      <c r="N106" s="102"/>
      <c r="O106" s="102"/>
      <c r="P106" s="102"/>
      <c r="Q106" s="102"/>
      <c r="R106" s="102"/>
      <c r="S106" s="102"/>
      <c r="T106" s="102"/>
      <c r="U106" s="102"/>
      <c r="V106" s="102"/>
      <c r="W106" s="102"/>
      <c r="X106" s="102"/>
      <c r="Y106" s="102"/>
      <c r="Z106" s="102"/>
      <c r="AA106" s="102"/>
      <c r="AB106" s="102"/>
      <c r="AC106" s="4"/>
    </row>
    <row r="107" spans="1:29" outlineLevel="1">
      <c r="A107" s="4"/>
      <c r="B107" s="4"/>
      <c r="C107" s="68"/>
      <c r="D107" s="68"/>
      <c r="E107" s="68"/>
      <c r="F107" s="68"/>
      <c r="G107" s="68"/>
      <c r="H107" s="68"/>
      <c r="I107" s="68"/>
      <c r="J107" s="68"/>
      <c r="K107" s="68"/>
      <c r="L107" s="68"/>
      <c r="M107" s="68"/>
      <c r="N107" s="68"/>
      <c r="O107" s="68"/>
      <c r="P107" s="68"/>
      <c r="Q107" s="68"/>
      <c r="R107" s="68"/>
      <c r="S107" s="68"/>
      <c r="T107" s="68"/>
      <c r="U107" s="68"/>
      <c r="V107" s="68"/>
      <c r="W107" s="68"/>
      <c r="X107" s="68"/>
      <c r="Y107" s="68"/>
      <c r="Z107" s="68"/>
      <c r="AA107" s="68"/>
      <c r="AB107" s="68"/>
      <c r="AC107" s="4"/>
    </row>
    <row r="108" spans="1:29" outlineLevel="1">
      <c r="A108" s="4"/>
      <c r="B108" s="4"/>
      <c r="C108" s="80" t="s">
        <v>1600</v>
      </c>
      <c r="D108" s="64"/>
      <c r="E108" s="64"/>
      <c r="F108" s="64"/>
      <c r="G108" s="64"/>
      <c r="H108" s="64"/>
      <c r="I108" s="64"/>
      <c r="J108" s="64"/>
      <c r="K108" s="64"/>
      <c r="L108" s="64"/>
      <c r="M108" s="64"/>
      <c r="N108" s="64"/>
      <c r="O108" s="64"/>
      <c r="P108" s="64"/>
      <c r="Q108" s="64"/>
      <c r="R108" s="64"/>
      <c r="S108" s="64"/>
      <c r="T108" s="64"/>
      <c r="U108" s="64"/>
      <c r="V108" s="64"/>
      <c r="W108" s="64"/>
      <c r="X108" s="64"/>
      <c r="Y108" s="64"/>
      <c r="Z108" s="64"/>
      <c r="AA108" s="64"/>
      <c r="AB108" s="64"/>
      <c r="AC108" s="4"/>
    </row>
    <row r="109" spans="1:29">
      <c r="A109" s="4"/>
      <c r="B109" s="4"/>
      <c r="C109" s="238"/>
      <c r="D109" s="68"/>
      <c r="E109" s="68"/>
      <c r="F109" s="68"/>
      <c r="G109" s="68"/>
      <c r="H109" s="68"/>
      <c r="I109" s="68"/>
      <c r="J109" s="68"/>
      <c r="K109" s="68"/>
      <c r="L109" s="68"/>
      <c r="M109" s="68"/>
      <c r="N109" s="68"/>
      <c r="O109" s="68"/>
      <c r="P109" s="68"/>
      <c r="Q109" s="68"/>
      <c r="R109" s="68"/>
      <c r="S109" s="68"/>
      <c r="T109" s="68"/>
      <c r="U109" s="68"/>
      <c r="V109" s="68"/>
      <c r="W109" s="68"/>
      <c r="X109" s="68"/>
      <c r="Y109" s="68"/>
      <c r="Z109" s="68"/>
      <c r="AA109" s="68"/>
      <c r="AB109" s="68"/>
      <c r="AC109" s="4"/>
    </row>
    <row r="110" spans="1:29" ht="18.600000000000001">
      <c r="A110" s="4"/>
      <c r="B110" s="4"/>
      <c r="C110" s="102" t="s">
        <v>1601</v>
      </c>
      <c r="D110" s="102"/>
      <c r="E110" s="102"/>
      <c r="F110" s="4"/>
      <c r="G110" s="102"/>
      <c r="H110" s="102"/>
      <c r="I110" s="102"/>
      <c r="J110" s="102"/>
      <c r="K110" s="102"/>
      <c r="L110" s="102"/>
      <c r="M110" s="102"/>
      <c r="N110" s="102"/>
      <c r="O110" s="102"/>
      <c r="P110" s="102"/>
      <c r="Q110" s="102"/>
      <c r="R110" s="102"/>
      <c r="S110" s="102"/>
      <c r="T110" s="102"/>
      <c r="U110" s="102"/>
      <c r="V110" s="102"/>
      <c r="W110" s="102"/>
      <c r="X110" s="102"/>
      <c r="Y110" s="102"/>
      <c r="Z110" s="102"/>
      <c r="AA110" s="102"/>
      <c r="AB110" s="102"/>
      <c r="AC110" s="4"/>
    </row>
    <row r="111" spans="1:29" ht="14.45" customHeight="1">
      <c r="A111" s="4"/>
      <c r="B111" s="4"/>
      <c r="C111" s="102"/>
      <c r="D111" s="102"/>
      <c r="E111" s="102"/>
      <c r="F111" s="4"/>
      <c r="G111" s="102"/>
      <c r="H111" s="102"/>
      <c r="I111" s="102"/>
      <c r="J111" s="102"/>
      <c r="K111" s="102"/>
      <c r="L111" s="102"/>
      <c r="M111" s="102"/>
      <c r="N111" s="102"/>
      <c r="O111" s="102"/>
      <c r="P111" s="102"/>
      <c r="Q111" s="102"/>
      <c r="R111" s="102"/>
      <c r="S111" s="102"/>
      <c r="T111" s="102"/>
      <c r="U111" s="102"/>
      <c r="V111" s="102"/>
      <c r="W111" s="102"/>
      <c r="X111" s="102"/>
      <c r="Y111" s="102"/>
      <c r="Z111" s="102"/>
      <c r="AA111" s="102"/>
      <c r="AB111" s="102"/>
      <c r="AC111" s="4"/>
    </row>
    <row r="112" spans="1:29" ht="18.600000000000001">
      <c r="A112" s="4"/>
      <c r="B112" s="4"/>
      <c r="C112" s="499" t="s">
        <v>1602</v>
      </c>
      <c r="D112" s="102"/>
      <c r="E112" s="102"/>
      <c r="F112" s="4"/>
      <c r="G112" s="102"/>
      <c r="H112" s="102"/>
      <c r="I112" s="102"/>
      <c r="J112" s="102"/>
      <c r="K112" s="102"/>
      <c r="L112" s="102"/>
      <c r="M112" s="102"/>
      <c r="N112" s="102"/>
      <c r="O112" s="102"/>
      <c r="P112" s="102"/>
      <c r="Q112" s="102"/>
      <c r="R112" s="102"/>
      <c r="S112" s="102"/>
      <c r="T112" s="102"/>
      <c r="U112" s="102"/>
      <c r="V112" s="102"/>
      <c r="W112" s="102"/>
      <c r="X112" s="102"/>
      <c r="Y112" s="102"/>
      <c r="Z112" s="102"/>
      <c r="AA112" s="102"/>
      <c r="AB112" s="102"/>
      <c r="AC112" s="4"/>
    </row>
    <row r="113" spans="1:29" hidden="1" outlineLevel="1">
      <c r="A113" s="4"/>
      <c r="B113" s="4"/>
      <c r="C113" s="4"/>
      <c r="D113" s="4"/>
      <c r="E113" s="4"/>
      <c r="F113" s="4"/>
      <c r="G113" s="4"/>
      <c r="H113" s="4"/>
      <c r="I113" s="4"/>
      <c r="J113" s="4"/>
      <c r="K113" s="4"/>
      <c r="L113" s="4"/>
      <c r="M113" s="4"/>
      <c r="N113" s="4"/>
      <c r="O113" s="4"/>
      <c r="P113" s="4"/>
      <c r="Q113" s="4"/>
      <c r="R113" s="4"/>
      <c r="S113" s="4"/>
      <c r="T113" s="4"/>
      <c r="U113" s="4"/>
      <c r="V113" s="4"/>
      <c r="W113" s="4"/>
      <c r="X113" s="4"/>
      <c r="Y113" s="4"/>
      <c r="Z113" s="4"/>
      <c r="AA113" s="4"/>
      <c r="AB113" s="4"/>
      <c r="AC113" s="4"/>
    </row>
    <row r="114" spans="1:29" hidden="1" outlineLevel="1">
      <c r="A114" s="4"/>
      <c r="B114" s="4"/>
      <c r="C114" s="7"/>
      <c r="D114" s="7"/>
      <c r="E114" s="7"/>
      <c r="F114" s="7"/>
      <c r="G114" s="7"/>
      <c r="H114" s="7"/>
      <c r="I114" s="7"/>
      <c r="J114" s="7"/>
      <c r="K114" s="7"/>
      <c r="L114" s="7"/>
      <c r="M114" s="7"/>
      <c r="N114" s="7"/>
      <c r="O114" s="7"/>
      <c r="P114" s="7"/>
      <c r="Q114" s="7"/>
      <c r="R114" s="7"/>
      <c r="S114" s="7"/>
      <c r="T114" s="7"/>
      <c r="U114" s="7"/>
      <c r="V114" s="7"/>
      <c r="W114" s="7"/>
      <c r="X114" s="7"/>
      <c r="Y114" s="7"/>
      <c r="Z114" s="7"/>
      <c r="AA114" s="7"/>
      <c r="AB114" s="7"/>
      <c r="AC114" s="4"/>
    </row>
    <row r="115" spans="1:29" hidden="1" outlineLevel="1">
      <c r="A115" s="4"/>
      <c r="B115" s="4"/>
      <c r="C115" s="7"/>
      <c r="D115" s="7"/>
      <c r="E115" s="7"/>
      <c r="F115" s="7"/>
      <c r="G115" s="7"/>
      <c r="H115" s="7"/>
      <c r="I115" s="7"/>
      <c r="J115" s="7"/>
      <c r="K115" s="7"/>
      <c r="L115" s="7"/>
      <c r="M115" s="7"/>
      <c r="N115" s="7"/>
      <c r="O115" s="7"/>
      <c r="P115" s="7"/>
      <c r="Q115" s="7"/>
      <c r="R115" s="7"/>
      <c r="S115" s="7"/>
      <c r="T115" s="7"/>
      <c r="U115" s="7"/>
      <c r="V115" s="7"/>
      <c r="W115" s="7"/>
      <c r="X115" s="7"/>
      <c r="Y115" s="7"/>
      <c r="Z115" s="7"/>
      <c r="AA115" s="7"/>
      <c r="AB115" s="7"/>
      <c r="AC115" s="4"/>
    </row>
    <row r="116" spans="1:29" hidden="1" outlineLevel="1">
      <c r="A116" s="4"/>
      <c r="B116" s="4"/>
      <c r="C116" s="7"/>
      <c r="D116" s="7"/>
      <c r="E116" s="7"/>
      <c r="F116" s="7"/>
      <c r="G116" s="7"/>
      <c r="H116" s="7"/>
      <c r="I116" s="7"/>
      <c r="J116" s="7"/>
      <c r="K116" s="7"/>
      <c r="L116" s="7"/>
      <c r="M116" s="7"/>
      <c r="N116" s="7"/>
      <c r="O116" s="7"/>
      <c r="P116" s="7"/>
      <c r="Q116" s="7"/>
      <c r="R116" s="7"/>
      <c r="S116" s="7"/>
      <c r="T116" s="7"/>
      <c r="U116" s="7"/>
      <c r="V116" s="7"/>
      <c r="W116" s="7"/>
      <c r="X116" s="7"/>
      <c r="Y116" s="7"/>
      <c r="Z116" s="7"/>
      <c r="AA116" s="7"/>
      <c r="AB116" s="7"/>
      <c r="AC116" s="4"/>
    </row>
    <row r="117" spans="1:29" hidden="1" outlineLevel="1">
      <c r="A117" s="4"/>
      <c r="B117" s="4"/>
      <c r="C117" s="7"/>
      <c r="D117" s="7"/>
      <c r="E117" s="7"/>
      <c r="F117" s="7"/>
      <c r="G117" s="7"/>
      <c r="H117" s="7"/>
      <c r="I117" s="7"/>
      <c r="J117" s="7"/>
      <c r="K117" s="7"/>
      <c r="L117" s="7"/>
      <c r="M117" s="7"/>
      <c r="N117" s="7"/>
      <c r="O117" s="7"/>
      <c r="P117" s="7"/>
      <c r="Q117" s="7"/>
      <c r="R117" s="7"/>
      <c r="S117" s="7"/>
      <c r="T117" s="7"/>
      <c r="U117" s="7"/>
      <c r="V117" s="7"/>
      <c r="W117" s="7"/>
      <c r="X117" s="7"/>
      <c r="Y117" s="7"/>
      <c r="Z117" s="7"/>
      <c r="AA117" s="7"/>
      <c r="AB117" s="7"/>
      <c r="AC117" s="4"/>
    </row>
    <row r="118" spans="1:29" hidden="1" outlineLevel="1">
      <c r="A118" s="4"/>
      <c r="B118" s="4"/>
      <c r="C118" s="7"/>
      <c r="D118" s="7"/>
      <c r="E118" s="7"/>
      <c r="F118" s="7"/>
      <c r="G118" s="7"/>
      <c r="H118" s="7"/>
      <c r="I118" s="7"/>
      <c r="J118" s="7"/>
      <c r="K118" s="7"/>
      <c r="L118" s="7"/>
      <c r="M118" s="7"/>
      <c r="N118" s="7"/>
      <c r="O118" s="7"/>
      <c r="P118" s="7"/>
      <c r="Q118" s="7"/>
      <c r="R118" s="7"/>
      <c r="S118" s="7"/>
      <c r="T118" s="7"/>
      <c r="U118" s="7"/>
      <c r="V118" s="7"/>
      <c r="W118" s="7"/>
      <c r="X118" s="7"/>
      <c r="Y118" s="7"/>
      <c r="Z118" s="7"/>
      <c r="AA118" s="7"/>
      <c r="AB118" s="7"/>
      <c r="AC118" s="4"/>
    </row>
    <row r="119" spans="1:29" hidden="1" outlineLevel="1">
      <c r="A119" s="4"/>
      <c r="B119" s="4"/>
      <c r="C119" s="7"/>
      <c r="D119" s="7"/>
      <c r="E119" s="7"/>
      <c r="F119" s="7"/>
      <c r="G119" s="7"/>
      <c r="H119" s="7"/>
      <c r="I119" s="7"/>
      <c r="J119" s="7"/>
      <c r="K119" s="7"/>
      <c r="L119" s="7"/>
      <c r="M119" s="7"/>
      <c r="N119" s="7"/>
      <c r="O119" s="7"/>
      <c r="P119" s="7"/>
      <c r="Q119" s="7"/>
      <c r="R119" s="7"/>
      <c r="S119" s="7"/>
      <c r="T119" s="7"/>
      <c r="U119" s="7"/>
      <c r="V119" s="7"/>
      <c r="W119" s="7"/>
      <c r="X119" s="7"/>
      <c r="Y119" s="7"/>
      <c r="Z119" s="7"/>
      <c r="AA119" s="7"/>
      <c r="AB119" s="7"/>
      <c r="AC119" s="4"/>
    </row>
    <row r="120" spans="1:29" hidden="1" outlineLevel="1">
      <c r="A120" s="4"/>
      <c r="B120" s="4"/>
      <c r="C120" s="7"/>
      <c r="D120" s="7"/>
      <c r="E120" s="7"/>
      <c r="F120" s="7"/>
      <c r="G120" s="7"/>
      <c r="H120" s="7"/>
      <c r="I120" s="7"/>
      <c r="J120" s="7"/>
      <c r="K120" s="7"/>
      <c r="L120" s="7"/>
      <c r="M120" s="7"/>
      <c r="N120" s="7"/>
      <c r="O120" s="7"/>
      <c r="P120" s="7"/>
      <c r="Q120" s="7"/>
      <c r="R120" s="7"/>
      <c r="S120" s="7"/>
      <c r="T120" s="7"/>
      <c r="U120" s="7"/>
      <c r="V120" s="7"/>
      <c r="W120" s="7"/>
      <c r="X120" s="7"/>
      <c r="Y120" s="7"/>
      <c r="Z120" s="7"/>
      <c r="AA120" s="7"/>
      <c r="AB120" s="7"/>
      <c r="AC120" s="4"/>
    </row>
    <row r="121" spans="1:29" hidden="1" outlineLevel="1">
      <c r="A121" s="4"/>
      <c r="B121" s="4"/>
      <c r="C121" s="7"/>
      <c r="D121" s="7"/>
      <c r="E121" s="7"/>
      <c r="F121" s="7"/>
      <c r="G121" s="7"/>
      <c r="H121" s="7"/>
      <c r="I121" s="7"/>
      <c r="J121" s="7"/>
      <c r="K121" s="7"/>
      <c r="L121" s="7"/>
      <c r="M121" s="7"/>
      <c r="N121" s="7"/>
      <c r="O121" s="7"/>
      <c r="P121" s="7"/>
      <c r="Q121" s="7"/>
      <c r="R121" s="7"/>
      <c r="S121" s="7"/>
      <c r="T121" s="7"/>
      <c r="U121" s="7"/>
      <c r="V121" s="7"/>
      <c r="W121" s="7"/>
      <c r="X121" s="7"/>
      <c r="Y121" s="7"/>
      <c r="Z121" s="7"/>
      <c r="AA121" s="7"/>
      <c r="AB121" s="7"/>
      <c r="AC121" s="4"/>
    </row>
    <row r="122" spans="1:29" hidden="1" outlineLevel="1">
      <c r="A122" s="4"/>
      <c r="B122" s="4"/>
      <c r="C122" s="7"/>
      <c r="D122" s="7"/>
      <c r="E122" s="7"/>
      <c r="F122" s="7"/>
      <c r="G122" s="7"/>
      <c r="H122" s="7"/>
      <c r="I122" s="7"/>
      <c r="J122" s="7"/>
      <c r="K122" s="7"/>
      <c r="L122" s="7"/>
      <c r="M122" s="7"/>
      <c r="N122" s="7"/>
      <c r="O122" s="7"/>
      <c r="P122" s="7"/>
      <c r="Q122" s="7"/>
      <c r="R122" s="7"/>
      <c r="S122" s="7"/>
      <c r="T122" s="7"/>
      <c r="U122" s="7"/>
      <c r="V122" s="7"/>
      <c r="W122" s="7"/>
      <c r="X122" s="7"/>
      <c r="Y122" s="7"/>
      <c r="Z122" s="7"/>
      <c r="AA122" s="7"/>
      <c r="AB122" s="7"/>
      <c r="AC122" s="4"/>
    </row>
    <row r="123" spans="1:29" hidden="1" outlineLevel="1">
      <c r="A123" s="4"/>
      <c r="B123" s="4"/>
      <c r="C123" s="7"/>
      <c r="D123" s="7"/>
      <c r="E123" s="7"/>
      <c r="F123" s="7"/>
      <c r="G123" s="7"/>
      <c r="H123" s="7"/>
      <c r="I123" s="7"/>
      <c r="J123" s="7"/>
      <c r="K123" s="7"/>
      <c r="L123" s="7"/>
      <c r="M123" s="7"/>
      <c r="N123" s="7"/>
      <c r="O123" s="7"/>
      <c r="P123" s="7"/>
      <c r="Q123" s="7"/>
      <c r="R123" s="7"/>
      <c r="S123" s="7"/>
      <c r="T123" s="7"/>
      <c r="U123" s="7"/>
      <c r="V123" s="7"/>
      <c r="W123" s="7"/>
      <c r="X123" s="7"/>
      <c r="Y123" s="7"/>
      <c r="Z123" s="7"/>
      <c r="AA123" s="7"/>
      <c r="AB123" s="7"/>
      <c r="AC123" s="4"/>
    </row>
    <row r="124" spans="1:29" hidden="1" outlineLevel="1">
      <c r="A124" s="4"/>
      <c r="B124" s="4"/>
      <c r="C124" s="7"/>
      <c r="D124" s="7"/>
      <c r="E124" s="7"/>
      <c r="F124" s="7"/>
      <c r="G124" s="7"/>
      <c r="H124" s="7"/>
      <c r="I124" s="7"/>
      <c r="J124" s="7"/>
      <c r="K124" s="7"/>
      <c r="L124" s="7"/>
      <c r="M124" s="7"/>
      <c r="N124" s="7"/>
      <c r="O124" s="7"/>
      <c r="P124" s="7"/>
      <c r="Q124" s="7"/>
      <c r="R124" s="7"/>
      <c r="S124" s="7"/>
      <c r="T124" s="7"/>
      <c r="U124" s="7"/>
      <c r="V124" s="7"/>
      <c r="W124" s="7"/>
      <c r="X124" s="7"/>
      <c r="Y124" s="7"/>
      <c r="Z124" s="7"/>
      <c r="AA124" s="7"/>
      <c r="AB124" s="7"/>
      <c r="AC124" s="4"/>
    </row>
    <row r="125" spans="1:29" hidden="1" outlineLevel="1">
      <c r="A125" s="4"/>
      <c r="B125" s="4"/>
      <c r="C125" s="7"/>
      <c r="D125" s="7"/>
      <c r="E125" s="7"/>
      <c r="F125" s="7"/>
      <c r="G125" s="7"/>
      <c r="H125" s="7"/>
      <c r="I125" s="7"/>
      <c r="J125" s="7"/>
      <c r="K125" s="7"/>
      <c r="L125" s="7"/>
      <c r="M125" s="7"/>
      <c r="N125" s="7"/>
      <c r="O125" s="7"/>
      <c r="P125" s="7"/>
      <c r="Q125" s="7"/>
      <c r="R125" s="7"/>
      <c r="S125" s="7"/>
      <c r="T125" s="7"/>
      <c r="U125" s="7"/>
      <c r="V125" s="7"/>
      <c r="W125" s="7"/>
      <c r="X125" s="7"/>
      <c r="Y125" s="7"/>
      <c r="Z125" s="7"/>
      <c r="AA125" s="7"/>
      <c r="AB125" s="7"/>
      <c r="AC125" s="4"/>
    </row>
    <row r="126" spans="1:29" hidden="1" outlineLevel="1">
      <c r="A126" s="4"/>
      <c r="B126" s="4"/>
      <c r="C126" s="7"/>
      <c r="D126" s="7"/>
      <c r="E126" s="7"/>
      <c r="F126" s="7"/>
      <c r="G126" s="7"/>
      <c r="H126" s="7"/>
      <c r="I126" s="7"/>
      <c r="J126" s="7"/>
      <c r="K126" s="7"/>
      <c r="L126" s="7"/>
      <c r="M126" s="7"/>
      <c r="N126" s="7"/>
      <c r="O126" s="7"/>
      <c r="P126" s="7"/>
      <c r="Q126" s="7"/>
      <c r="R126" s="7"/>
      <c r="S126" s="7"/>
      <c r="T126" s="7"/>
      <c r="U126" s="7"/>
      <c r="V126" s="7"/>
      <c r="W126" s="7"/>
      <c r="X126" s="7"/>
      <c r="Y126" s="7"/>
      <c r="Z126" s="7"/>
      <c r="AA126" s="7"/>
      <c r="AB126" s="7"/>
      <c r="AC126" s="4"/>
    </row>
    <row r="127" spans="1:29" hidden="1" outlineLevel="1">
      <c r="A127" s="4"/>
      <c r="B127" s="4"/>
      <c r="C127" s="7"/>
      <c r="D127" s="7"/>
      <c r="E127" s="7"/>
      <c r="F127" s="7"/>
      <c r="G127" s="7"/>
      <c r="H127" s="7"/>
      <c r="I127" s="7"/>
      <c r="J127" s="7"/>
      <c r="K127" s="7"/>
      <c r="L127" s="7"/>
      <c r="M127" s="7"/>
      <c r="N127" s="7"/>
      <c r="O127" s="7"/>
      <c r="P127" s="7"/>
      <c r="Q127" s="7"/>
      <c r="R127" s="7"/>
      <c r="S127" s="7"/>
      <c r="T127" s="7"/>
      <c r="U127" s="7"/>
      <c r="V127" s="7"/>
      <c r="W127" s="7"/>
      <c r="X127" s="7"/>
      <c r="Y127" s="7"/>
      <c r="Z127" s="7"/>
      <c r="AA127" s="7"/>
      <c r="AB127" s="7"/>
      <c r="AC127" s="4"/>
    </row>
    <row r="128" spans="1:29" hidden="1" outlineLevel="1">
      <c r="A128" s="4"/>
      <c r="B128" s="4"/>
      <c r="C128" s="7"/>
      <c r="D128" s="7"/>
      <c r="E128" s="7"/>
      <c r="F128" s="7"/>
      <c r="G128" s="7"/>
      <c r="H128" s="7"/>
      <c r="I128" s="7"/>
      <c r="J128" s="7"/>
      <c r="K128" s="7"/>
      <c r="L128" s="7"/>
      <c r="M128" s="7"/>
      <c r="N128" s="7"/>
      <c r="O128" s="7"/>
      <c r="P128" s="7"/>
      <c r="Q128" s="7"/>
      <c r="R128" s="7"/>
      <c r="S128" s="7"/>
      <c r="T128" s="7"/>
      <c r="U128" s="7"/>
      <c r="V128" s="7"/>
      <c r="W128" s="7"/>
      <c r="X128" s="7"/>
      <c r="Y128" s="7"/>
      <c r="Z128" s="7"/>
      <c r="AA128" s="7"/>
      <c r="AB128" s="7"/>
      <c r="AC128" s="4"/>
    </row>
    <row r="129" spans="1:29" hidden="1" outlineLevel="1">
      <c r="A129" s="4"/>
      <c r="B129" s="4"/>
      <c r="C129" s="7"/>
      <c r="D129" s="7"/>
      <c r="E129" s="7"/>
      <c r="F129" s="7"/>
      <c r="G129" s="7"/>
      <c r="H129" s="7"/>
      <c r="I129" s="7"/>
      <c r="J129" s="7"/>
      <c r="K129" s="7"/>
      <c r="L129" s="7"/>
      <c r="M129" s="7"/>
      <c r="N129" s="7"/>
      <c r="O129" s="7"/>
      <c r="P129" s="7"/>
      <c r="Q129" s="7"/>
      <c r="R129" s="7"/>
      <c r="S129" s="7"/>
      <c r="T129" s="7"/>
      <c r="U129" s="7"/>
      <c r="V129" s="7"/>
      <c r="W129" s="7"/>
      <c r="X129" s="7"/>
      <c r="Y129" s="7"/>
      <c r="Z129" s="7"/>
      <c r="AA129" s="7"/>
      <c r="AB129" s="7"/>
      <c r="AC129" s="4"/>
    </row>
    <row r="130" spans="1:29" hidden="1" outlineLevel="1">
      <c r="A130" s="4"/>
      <c r="B130" s="4"/>
      <c r="C130" s="7"/>
      <c r="D130" s="7"/>
      <c r="E130" s="7"/>
      <c r="F130" s="7"/>
      <c r="G130" s="7"/>
      <c r="H130" s="7"/>
      <c r="I130" s="7"/>
      <c r="J130" s="7"/>
      <c r="K130" s="7"/>
      <c r="L130" s="7"/>
      <c r="M130" s="7"/>
      <c r="N130" s="7"/>
      <c r="O130" s="7"/>
      <c r="P130" s="7"/>
      <c r="Q130" s="7"/>
      <c r="R130" s="7"/>
      <c r="S130" s="7"/>
      <c r="T130" s="7"/>
      <c r="U130" s="7"/>
      <c r="V130" s="7"/>
      <c r="W130" s="7"/>
      <c r="X130" s="7"/>
      <c r="Y130" s="7"/>
      <c r="Z130" s="7"/>
      <c r="AA130" s="7"/>
      <c r="AB130" s="7"/>
      <c r="AC130" s="4"/>
    </row>
    <row r="131" spans="1:29" hidden="1" outlineLevel="1">
      <c r="A131" s="4"/>
      <c r="B131" s="4"/>
      <c r="C131" s="7"/>
      <c r="D131" s="7"/>
      <c r="E131" s="7"/>
      <c r="F131" s="7"/>
      <c r="G131" s="7"/>
      <c r="H131" s="7"/>
      <c r="I131" s="7"/>
      <c r="J131" s="7"/>
      <c r="K131" s="7"/>
      <c r="L131" s="7"/>
      <c r="M131" s="7"/>
      <c r="N131" s="7"/>
      <c r="O131" s="7"/>
      <c r="P131" s="7"/>
      <c r="Q131" s="7"/>
      <c r="R131" s="7"/>
      <c r="S131" s="7"/>
      <c r="T131" s="7"/>
      <c r="U131" s="7"/>
      <c r="V131" s="7"/>
      <c r="W131" s="7"/>
      <c r="X131" s="7"/>
      <c r="Y131" s="7"/>
      <c r="Z131" s="7"/>
      <c r="AA131" s="7"/>
      <c r="AB131" s="7"/>
      <c r="AC131" s="4"/>
    </row>
    <row r="132" spans="1:29" hidden="1" outlineLevel="1">
      <c r="A132" s="4"/>
      <c r="B132" s="4"/>
      <c r="C132" s="7"/>
      <c r="D132" s="7"/>
      <c r="E132" s="7"/>
      <c r="F132" s="7"/>
      <c r="G132" s="7"/>
      <c r="H132" s="7"/>
      <c r="I132" s="7"/>
      <c r="J132" s="7"/>
      <c r="K132" s="7"/>
      <c r="L132" s="7"/>
      <c r="M132" s="7"/>
      <c r="N132" s="7"/>
      <c r="O132" s="7"/>
      <c r="P132" s="7"/>
      <c r="Q132" s="7"/>
      <c r="R132" s="7"/>
      <c r="S132" s="7"/>
      <c r="T132" s="7"/>
      <c r="U132" s="7"/>
      <c r="V132" s="7"/>
      <c r="W132" s="7"/>
      <c r="X132" s="7"/>
      <c r="Y132" s="7"/>
      <c r="Z132" s="7"/>
      <c r="AA132" s="7"/>
      <c r="AB132" s="7"/>
      <c r="AC132" s="4"/>
    </row>
    <row r="133" spans="1:29" hidden="1" outlineLevel="1">
      <c r="A133" s="4"/>
      <c r="B133" s="4"/>
      <c r="C133" s="7"/>
      <c r="D133" s="7"/>
      <c r="E133" s="7"/>
      <c r="F133" s="7"/>
      <c r="G133" s="7"/>
      <c r="H133" s="7"/>
      <c r="I133" s="7"/>
      <c r="J133" s="7"/>
      <c r="K133" s="7"/>
      <c r="L133" s="7"/>
      <c r="M133" s="7"/>
      <c r="N133" s="7"/>
      <c r="O133" s="7"/>
      <c r="P133" s="7"/>
      <c r="Q133" s="7"/>
      <c r="R133" s="7"/>
      <c r="S133" s="7"/>
      <c r="T133" s="7"/>
      <c r="U133" s="7"/>
      <c r="V133" s="7"/>
      <c r="W133" s="7"/>
      <c r="X133" s="7"/>
      <c r="Y133" s="7"/>
      <c r="Z133" s="7"/>
      <c r="AA133" s="7"/>
      <c r="AB133" s="7"/>
      <c r="AC133" s="4"/>
    </row>
    <row r="134" spans="1:29" hidden="1" outlineLevel="1">
      <c r="A134" s="4"/>
      <c r="B134" s="4"/>
      <c r="C134" s="4"/>
      <c r="D134" s="4"/>
      <c r="E134" s="4"/>
      <c r="F134" s="4"/>
      <c r="G134" s="4"/>
      <c r="H134" s="4"/>
      <c r="I134" s="4"/>
      <c r="J134" s="4"/>
      <c r="K134" s="4"/>
      <c r="L134" s="4"/>
      <c r="M134" s="4"/>
      <c r="N134" s="4"/>
      <c r="O134" s="4"/>
      <c r="P134" s="4"/>
      <c r="Q134" s="4"/>
      <c r="R134" s="4"/>
      <c r="S134" s="4"/>
      <c r="T134" s="4"/>
      <c r="U134" s="4"/>
      <c r="V134" s="4"/>
      <c r="W134" s="4"/>
      <c r="X134" s="4"/>
      <c r="Y134" s="4"/>
      <c r="Z134" s="4"/>
      <c r="AA134" s="4"/>
      <c r="AB134" s="4"/>
      <c r="AC134" s="4"/>
    </row>
    <row r="135" spans="1:29" ht="18.600000000000001" hidden="1" outlineLevel="1">
      <c r="A135" s="4"/>
      <c r="B135" s="4"/>
      <c r="C135" s="102" t="s">
        <v>1603</v>
      </c>
      <c r="D135" s="102"/>
      <c r="E135" s="102"/>
      <c r="F135" s="102"/>
      <c r="G135" s="102"/>
      <c r="H135" s="102"/>
      <c r="I135" s="102"/>
      <c r="J135" s="102"/>
      <c r="K135" s="102"/>
      <c r="L135" s="102"/>
      <c r="M135" s="102"/>
      <c r="N135" s="102"/>
      <c r="O135" s="102"/>
      <c r="P135" s="102"/>
      <c r="Q135" s="102"/>
      <c r="R135" s="102"/>
      <c r="S135" s="102"/>
      <c r="T135" s="102"/>
      <c r="U135" s="102"/>
      <c r="V135" s="102"/>
      <c r="W135" s="102"/>
      <c r="X135" s="102"/>
      <c r="Y135" s="102"/>
      <c r="Z135" s="102"/>
      <c r="AA135" s="102"/>
      <c r="AB135" s="102"/>
      <c r="AC135" s="4"/>
    </row>
    <row r="136" spans="1:29" hidden="1" outlineLevel="1">
      <c r="A136" s="4"/>
      <c r="B136" s="4"/>
      <c r="C136" s="68"/>
      <c r="D136" s="68"/>
      <c r="E136" s="68"/>
      <c r="F136" s="68"/>
      <c r="G136" s="68"/>
      <c r="H136" s="68"/>
      <c r="I136" s="68"/>
      <c r="J136" s="68"/>
      <c r="K136" s="68"/>
      <c r="L136" s="68"/>
      <c r="M136" s="68"/>
      <c r="N136" s="68"/>
      <c r="O136" s="68"/>
      <c r="P136" s="68"/>
      <c r="Q136" s="68"/>
      <c r="R136" s="68"/>
      <c r="S136" s="68"/>
      <c r="T136" s="68"/>
      <c r="U136" s="68"/>
      <c r="V136" s="68"/>
      <c r="W136" s="68"/>
      <c r="X136" s="68"/>
      <c r="Y136" s="68"/>
      <c r="Z136" s="68"/>
      <c r="AA136" s="68"/>
      <c r="AB136" s="68"/>
      <c r="AC136" s="4"/>
    </row>
    <row r="137" spans="1:29" hidden="1" outlineLevel="1">
      <c r="A137" s="4"/>
      <c r="B137" s="4"/>
      <c r="C137" s="80" t="s">
        <v>1600</v>
      </c>
      <c r="D137" s="64"/>
      <c r="E137" s="64"/>
      <c r="F137" s="64"/>
      <c r="G137" s="64"/>
      <c r="H137" s="64"/>
      <c r="I137" s="64"/>
      <c r="J137" s="64"/>
      <c r="K137" s="64"/>
      <c r="L137" s="64"/>
      <c r="M137" s="64"/>
      <c r="N137" s="64"/>
      <c r="O137" s="64"/>
      <c r="P137" s="64"/>
      <c r="Q137" s="64"/>
      <c r="R137" s="64"/>
      <c r="S137" s="64"/>
      <c r="T137" s="64"/>
      <c r="U137" s="64"/>
      <c r="V137" s="64"/>
      <c r="W137" s="64"/>
      <c r="X137" s="64"/>
      <c r="Y137" s="64"/>
      <c r="Z137" s="64"/>
      <c r="AA137" s="64"/>
      <c r="AB137" s="64"/>
      <c r="AC137" s="4"/>
    </row>
    <row r="138" spans="1:29" collapsed="1">
      <c r="A138" s="4"/>
      <c r="B138" s="4"/>
      <c r="C138" s="238"/>
      <c r="D138" s="68"/>
      <c r="E138" s="68"/>
      <c r="F138" s="68"/>
      <c r="G138" s="68"/>
      <c r="H138" s="68"/>
      <c r="I138" s="68"/>
      <c r="J138" s="68"/>
      <c r="K138" s="68"/>
      <c r="L138" s="68"/>
      <c r="M138" s="68"/>
      <c r="N138" s="68"/>
      <c r="O138" s="68"/>
      <c r="P138" s="68"/>
      <c r="Q138" s="68"/>
      <c r="R138" s="68"/>
      <c r="S138" s="68"/>
      <c r="T138" s="68"/>
      <c r="U138" s="68"/>
      <c r="V138" s="68"/>
      <c r="W138" s="68"/>
      <c r="X138" s="68"/>
      <c r="Y138" s="68"/>
      <c r="Z138" s="68"/>
      <c r="AA138" s="68"/>
      <c r="AB138" s="68"/>
      <c r="AC138" s="4"/>
    </row>
    <row r="139" spans="1:29" ht="18.600000000000001">
      <c r="A139" s="4"/>
      <c r="B139" s="4"/>
      <c r="C139" s="102" t="s">
        <v>78</v>
      </c>
      <c r="D139" s="102"/>
      <c r="E139" s="102"/>
      <c r="F139" s="102"/>
      <c r="G139" s="102"/>
      <c r="H139" s="102"/>
      <c r="I139" s="102"/>
      <c r="J139" s="102"/>
      <c r="K139" s="102"/>
      <c r="L139" s="102"/>
      <c r="M139" s="102"/>
      <c r="N139" s="102"/>
      <c r="O139" s="102"/>
      <c r="P139" s="102"/>
      <c r="Q139" s="102"/>
      <c r="R139" s="102"/>
      <c r="S139" s="102"/>
      <c r="T139" s="102"/>
      <c r="U139" s="102"/>
      <c r="V139" s="102"/>
      <c r="W139" s="102"/>
      <c r="X139" s="102"/>
      <c r="Y139" s="102"/>
      <c r="Z139" s="102"/>
      <c r="AA139" s="102"/>
      <c r="AB139" s="102"/>
      <c r="AC139" s="4"/>
    </row>
    <row r="140" spans="1:29" outlineLevel="1">
      <c r="A140" s="4"/>
      <c r="B140" s="4"/>
      <c r="C140" s="4"/>
      <c r="D140" s="4"/>
      <c r="E140" s="4"/>
      <c r="F140" s="4"/>
      <c r="G140" s="4"/>
      <c r="H140" s="4"/>
      <c r="I140" s="4"/>
      <c r="J140" s="4"/>
      <c r="K140" s="4"/>
      <c r="L140" s="4"/>
      <c r="M140" s="4"/>
      <c r="N140" s="4"/>
      <c r="O140" s="4"/>
      <c r="P140" s="4"/>
      <c r="Q140" s="4"/>
      <c r="R140" s="4"/>
      <c r="S140" s="4"/>
      <c r="T140" s="4"/>
      <c r="U140" s="4"/>
      <c r="V140" s="4"/>
      <c r="W140" s="4"/>
      <c r="X140" s="4"/>
      <c r="Y140" s="4"/>
      <c r="Z140" s="4"/>
      <c r="AA140" s="4"/>
      <c r="AB140" s="4"/>
      <c r="AC140" s="4"/>
    </row>
    <row r="141" spans="1:29" ht="16.5" outlineLevel="1">
      <c r="A141" s="4"/>
      <c r="B141" s="4"/>
      <c r="C141" s="169">
        <v>1</v>
      </c>
      <c r="D141" s="70" t="s">
        <v>1604</v>
      </c>
      <c r="E141" s="7"/>
      <c r="F141" s="7"/>
      <c r="G141" s="7"/>
      <c r="H141" s="7"/>
      <c r="I141" s="7"/>
      <c r="J141" s="7"/>
      <c r="K141" s="7"/>
      <c r="L141" s="7"/>
      <c r="M141" s="7"/>
      <c r="N141" s="7"/>
      <c r="O141" s="7"/>
      <c r="P141" s="7"/>
      <c r="Q141" s="7"/>
      <c r="R141" s="7"/>
      <c r="S141" s="7"/>
      <c r="T141" s="7"/>
      <c r="U141" s="7"/>
      <c r="V141" s="7"/>
      <c r="W141" s="7"/>
      <c r="X141" s="7"/>
      <c r="Y141" s="7"/>
      <c r="Z141" s="7"/>
      <c r="AA141" s="7"/>
      <c r="AB141" s="7"/>
      <c r="AC141" s="4"/>
    </row>
    <row r="142" spans="1:29" ht="16.5" outlineLevel="1">
      <c r="A142" s="4"/>
      <c r="B142" s="4"/>
      <c r="C142" s="169">
        <v>2</v>
      </c>
      <c r="D142" s="70" t="s">
        <v>1605</v>
      </c>
      <c r="E142" s="7"/>
      <c r="F142" s="7"/>
      <c r="G142" s="7"/>
      <c r="H142" s="7"/>
      <c r="I142" s="7"/>
      <c r="J142" s="7"/>
      <c r="K142" s="7"/>
      <c r="L142" s="7"/>
      <c r="M142" s="7"/>
      <c r="N142" s="7"/>
      <c r="O142" s="7"/>
      <c r="P142" s="7"/>
      <c r="Q142" s="7"/>
      <c r="R142" s="7"/>
      <c r="S142" s="7"/>
      <c r="T142" s="7"/>
      <c r="U142" s="7"/>
      <c r="V142" s="7"/>
      <c r="W142" s="7"/>
      <c r="X142" s="7"/>
      <c r="Y142" s="7"/>
      <c r="Z142" s="7"/>
      <c r="AA142" s="7"/>
      <c r="AB142" s="7"/>
      <c r="AC142" s="4"/>
    </row>
    <row r="143" spans="1:29" ht="16.5" outlineLevel="1">
      <c r="A143" s="4"/>
      <c r="B143" s="4"/>
      <c r="C143" s="169">
        <v>3</v>
      </c>
      <c r="D143" s="70" t="s">
        <v>1606</v>
      </c>
      <c r="E143" s="7"/>
      <c r="F143" s="7"/>
      <c r="G143" s="7"/>
      <c r="H143" s="7"/>
      <c r="I143" s="7"/>
      <c r="J143" s="7"/>
      <c r="K143" s="7"/>
      <c r="L143" s="7"/>
      <c r="M143" s="7"/>
      <c r="N143" s="7"/>
      <c r="O143" s="7"/>
      <c r="P143" s="7"/>
      <c r="Q143" s="7"/>
      <c r="R143" s="7"/>
      <c r="S143" s="7"/>
      <c r="T143" s="7"/>
      <c r="U143" s="7"/>
      <c r="V143" s="7"/>
      <c r="W143" s="7"/>
      <c r="X143" s="7"/>
      <c r="Y143" s="7"/>
      <c r="Z143" s="7"/>
      <c r="AA143" s="7"/>
      <c r="AB143" s="7"/>
      <c r="AC143" s="4"/>
    </row>
    <row r="144" spans="1:29" ht="16.5" outlineLevel="1">
      <c r="A144" s="4"/>
      <c r="B144" s="4"/>
      <c r="C144" s="169">
        <v>4</v>
      </c>
      <c r="D144" s="7" t="s">
        <v>876</v>
      </c>
      <c r="E144" s="7"/>
      <c r="F144" s="7"/>
      <c r="G144" s="7"/>
      <c r="H144" s="7"/>
      <c r="I144" s="7"/>
      <c r="J144" s="7"/>
      <c r="K144" s="7"/>
      <c r="L144" s="7"/>
      <c r="M144" s="7"/>
      <c r="N144" s="7"/>
      <c r="O144" s="7"/>
      <c r="P144" s="7"/>
      <c r="Q144" s="7"/>
      <c r="R144" s="7"/>
      <c r="S144" s="7"/>
      <c r="T144" s="7"/>
      <c r="U144" s="7"/>
      <c r="V144" s="7"/>
      <c r="W144" s="7"/>
      <c r="X144" s="7"/>
      <c r="Y144" s="7"/>
      <c r="Z144" s="7"/>
      <c r="AA144" s="7"/>
      <c r="AB144" s="7"/>
      <c r="AC144" s="4"/>
    </row>
    <row r="145" spans="1:29" ht="16.5" outlineLevel="1">
      <c r="A145" s="4"/>
      <c r="B145" s="4"/>
      <c r="C145" s="169">
        <v>4</v>
      </c>
      <c r="D145" s="7" t="s">
        <v>877</v>
      </c>
      <c r="E145" s="7"/>
      <c r="F145" s="7"/>
      <c r="G145" s="7"/>
      <c r="H145" s="7"/>
      <c r="I145" s="7"/>
      <c r="J145" s="7"/>
      <c r="K145" s="7"/>
      <c r="L145" s="7"/>
      <c r="M145" s="7"/>
      <c r="N145" s="7"/>
      <c r="O145" s="7"/>
      <c r="P145" s="7"/>
      <c r="Q145" s="7"/>
      <c r="R145" s="7"/>
      <c r="S145" s="7"/>
      <c r="T145" s="7"/>
      <c r="U145" s="7"/>
      <c r="V145" s="7"/>
      <c r="W145" s="7"/>
      <c r="X145" s="7"/>
      <c r="Y145" s="7"/>
      <c r="Z145" s="7"/>
      <c r="AA145" s="7"/>
      <c r="AB145" s="7"/>
      <c r="AC145" s="4"/>
    </row>
    <row r="146" spans="1:29" ht="16.5" outlineLevel="1">
      <c r="A146" s="4"/>
      <c r="B146" s="4"/>
      <c r="C146" s="169">
        <v>4</v>
      </c>
      <c r="D146" s="7" t="s">
        <v>878</v>
      </c>
      <c r="E146" s="7"/>
      <c r="F146" s="7"/>
      <c r="G146" s="7"/>
      <c r="H146" s="7"/>
      <c r="I146" s="7"/>
      <c r="J146" s="7"/>
      <c r="K146" s="7"/>
      <c r="L146" s="7"/>
      <c r="M146" s="7"/>
      <c r="N146" s="7"/>
      <c r="O146" s="7"/>
      <c r="P146" s="7"/>
      <c r="Q146" s="7"/>
      <c r="R146" s="7"/>
      <c r="S146" s="7"/>
      <c r="T146" s="7"/>
      <c r="U146" s="7"/>
      <c r="V146" s="7"/>
      <c r="W146" s="7"/>
      <c r="X146" s="7"/>
      <c r="Y146" s="7"/>
      <c r="Z146" s="7"/>
      <c r="AA146" s="7"/>
      <c r="AB146" s="7"/>
      <c r="AC146" s="4"/>
    </row>
    <row r="147" spans="1:29">
      <c r="A147" s="4"/>
      <c r="B147" s="4"/>
      <c r="C147" s="4"/>
      <c r="D147" s="4"/>
      <c r="E147" s="4"/>
      <c r="F147" s="4"/>
      <c r="G147" s="4"/>
      <c r="H147" s="4"/>
      <c r="I147" s="4"/>
      <c r="J147" s="4"/>
      <c r="K147" s="4"/>
      <c r="L147" s="4"/>
      <c r="M147" s="4"/>
      <c r="N147" s="4"/>
      <c r="O147" s="4"/>
      <c r="P147" s="4"/>
      <c r="Q147" s="4"/>
      <c r="R147" s="4"/>
      <c r="S147" s="4"/>
      <c r="T147" s="4"/>
      <c r="U147" s="4"/>
      <c r="V147" s="4"/>
      <c r="W147" s="4"/>
      <c r="X147" s="4"/>
      <c r="Y147" s="4"/>
      <c r="Z147" s="4"/>
      <c r="AA147" s="4"/>
      <c r="AB147" s="4"/>
      <c r="AC147" s="4"/>
    </row>
  </sheetData>
  <mergeCells count="2">
    <mergeCell ref="C2:AB2"/>
    <mergeCell ref="C3:AB3"/>
  </mergeCells>
  <phoneticPr fontId="65"/>
  <conditionalFormatting sqref="E25">
    <cfRule type="containsText" dxfId="527" priority="21" operator="containsText" text="Yes">
      <formula>NOT(ISERROR(SEARCH("Yes",E25)))</formula>
    </cfRule>
    <cfRule type="containsText" dxfId="526" priority="22" operator="containsText" text="No">
      <formula>NOT(ISERROR(SEARCH("No",E25)))</formula>
    </cfRule>
  </conditionalFormatting>
  <conditionalFormatting sqref="E30">
    <cfRule type="containsText" dxfId="525" priority="19" operator="containsText" text="Pass">
      <formula>NOT(ISERROR(SEARCH("Pass",E30)))</formula>
    </cfRule>
    <cfRule type="containsText" dxfId="524" priority="20" operator="containsText" text="Fail">
      <formula>NOT(ISERROR(SEARCH("Fail",E30)))</formula>
    </cfRule>
  </conditionalFormatting>
  <conditionalFormatting sqref="E31">
    <cfRule type="containsText" dxfId="523" priority="13" operator="containsText" text="Exceeded baseline thresholds">
      <formula>NOT(ISERROR(SEARCH("Exceeded baseline thresholds",E31)))</formula>
    </cfRule>
    <cfRule type="containsText" dxfId="522" priority="14" operator="containsText" text="Within baseline parameters">
      <formula>NOT(ISERROR(SEARCH("Within baseline parameters",E31)))</formula>
    </cfRule>
  </conditionalFormatting>
  <conditionalFormatting sqref="E33">
    <cfRule type="containsText" dxfId="521" priority="17" operator="containsText" text="Pass">
      <formula>NOT(ISERROR(SEARCH("Pass",E33)))</formula>
    </cfRule>
    <cfRule type="containsText" dxfId="520" priority="18" operator="containsText" text="Fail">
      <formula>NOT(ISERROR(SEARCH("Fail",E33)))</formula>
    </cfRule>
  </conditionalFormatting>
  <conditionalFormatting sqref="E34">
    <cfRule type="containsText" dxfId="519" priority="11" operator="containsText" text="Exceeded baseline thresholds">
      <formula>NOT(ISERROR(SEARCH("Exceeded baseline thresholds",E34)))</formula>
    </cfRule>
    <cfRule type="containsText" dxfId="518" priority="12" operator="containsText" text="Within baseline parameters">
      <formula>NOT(ISERROR(SEARCH("Within baseline parameters",E34)))</formula>
    </cfRule>
  </conditionalFormatting>
  <hyperlinks>
    <hyperlink ref="E23" r:id="rId1" display="https://learn.microsoft.com/en-us/azure/architecture/web-apps/app-service/architectures/multi-region" xr:uid="{0B79A864-D5B9-44E9-A54B-78BC487A2029}"/>
    <hyperlink ref="D141" location="'1B Commitment, Blueprints'!A1" display="Business Commitment and Test Plans" xr:uid="{5148BBAE-C82E-46D5-97B9-D7616A897B19}"/>
    <hyperlink ref="D143" location="'4 Test Summary'!A1" display="Application Test Plans" xr:uid="{C223A64C-F6B1-4B26-9547-0F75D88ACD1F}"/>
    <hyperlink ref="D142" location="'2 Service Map'!A1" display="Application Service Map" xr:uid="{FCE1525D-9E44-4C3B-8B12-2A9144536811}"/>
  </hyperlinks>
  <pageMargins left="0.7" right="0.7" top="0.75" bottom="0.75" header="0.3" footer="0.3"/>
  <pageSetup orientation="portrait" r:id="rId2"/>
  <drawing r:id="rId3"/>
  <tableParts count="1">
    <tablePart r:id="rId4"/>
  </tableParts>
  <extLst>
    <ext xmlns:x14="http://schemas.microsoft.com/office/spreadsheetml/2009/9/main" uri="{78C0D931-6437-407d-A8EE-F0AAD7539E65}">
      <x14:conditionalFormattings>
        <x14:conditionalFormatting xmlns:xm="http://schemas.microsoft.com/office/excel/2006/main">
          <x14:cfRule type="cellIs" priority="1" operator="equal" id="{42C81059-7863-4825-AB72-6FC06F32037A}">
            <xm:f>Data!$L$13</xm:f>
            <x14:dxf>
              <font>
                <color theme="0"/>
              </font>
              <fill>
                <patternFill>
                  <bgColor rgb="FFF25022"/>
                </patternFill>
              </fill>
            </x14:dxf>
          </x14:cfRule>
          <x14:cfRule type="cellIs" priority="2" operator="equal" id="{00122281-9694-46D3-9A78-40292CC2F3B8}">
            <xm:f>Data!$L$12</xm:f>
            <x14:dxf>
              <font>
                <color theme="0"/>
              </font>
              <fill>
                <patternFill>
                  <bgColor rgb="FFF25022"/>
                </patternFill>
              </fill>
            </x14:dxf>
          </x14:cfRule>
          <x14:cfRule type="cellIs" priority="3" operator="equal" id="{C13E4216-55D1-49E4-81FA-608241B5B459}">
            <xm:f>Data!$L$11</xm:f>
            <x14:dxf>
              <font>
                <color theme="0"/>
              </font>
              <fill>
                <patternFill>
                  <bgColor rgb="FFF25022"/>
                </patternFill>
              </fill>
            </x14:dxf>
          </x14:cfRule>
          <x14:cfRule type="cellIs" priority="4" operator="equal" id="{864CA25C-EF54-4663-B604-17653DFD9957}">
            <xm:f>Data!$L$10</xm:f>
            <x14:dxf>
              <font>
                <color theme="0"/>
              </font>
              <fill>
                <patternFill>
                  <bgColor rgb="FFF25022"/>
                </patternFill>
              </fill>
            </x14:dxf>
          </x14:cfRule>
          <x14:cfRule type="cellIs" priority="5" operator="equal" id="{DBF13189-E62A-4F67-BE46-FB2919DF6847}">
            <xm:f>Data!$L$6</xm:f>
            <x14:dxf>
              <font>
                <color theme="0"/>
              </font>
              <fill>
                <patternFill>
                  <bgColor rgb="FFF25022"/>
                </patternFill>
              </fill>
            </x14:dxf>
          </x14:cfRule>
          <x14:cfRule type="cellIs" priority="6" operator="equal" id="{B1A3C9DA-F2C7-4903-AE89-641C130C410A}">
            <xm:f>Data!$L$9</xm:f>
            <x14:dxf>
              <font>
                <color theme="1"/>
              </font>
              <fill>
                <patternFill>
                  <bgColor rgb="FF7FBA00"/>
                </patternFill>
              </fill>
            </x14:dxf>
          </x14:cfRule>
          <x14:cfRule type="cellIs" priority="7" operator="equal" id="{239C2675-19EF-4110-9808-F2DE20EB7895}">
            <xm:f>Data!$L$8</xm:f>
            <x14:dxf>
              <font>
                <color theme="1"/>
              </font>
              <fill>
                <patternFill>
                  <bgColor rgb="FF00A4EF"/>
                </patternFill>
              </fill>
            </x14:dxf>
          </x14:cfRule>
          <x14:cfRule type="cellIs" priority="8" operator="equal" id="{F2CF38CA-BC5E-4869-BE8A-A5323A11EE5B}">
            <xm:f>Data!$L$7</xm:f>
            <x14:dxf>
              <font>
                <color theme="1"/>
              </font>
              <fill>
                <patternFill>
                  <bgColor rgb="FFFFB900"/>
                </patternFill>
              </fill>
            </x14:dxf>
          </x14:cfRule>
          <x14:cfRule type="cellIs" priority="9" operator="equal" id="{44777DC9-FE5E-4D48-B6B9-0C59F56B6754}">
            <xm:f>Data!$L$5</xm:f>
            <x14:dxf>
              <font>
                <color theme="0"/>
              </font>
              <fill>
                <patternFill>
                  <bgColor rgb="FFF25022"/>
                </patternFill>
              </fill>
            </x14:dxf>
          </x14:cfRule>
          <x14:cfRule type="cellIs" priority="10" operator="equal" id="{3066F920-E8C5-4545-92E9-22CD471BF801}">
            <xm:f>Data!$L$6+Data!$L$14</xm:f>
            <x14:dxf>
              <font>
                <color theme="0"/>
              </font>
              <fill>
                <patternFill>
                  <bgColor rgb="FF747474"/>
                </patternFill>
              </fill>
            </x14:dxf>
          </x14:cfRule>
          <xm:sqref>E16:E17</xm:sqref>
        </x14:conditionalFormatting>
        <x14:conditionalFormatting xmlns:xm="http://schemas.microsoft.com/office/excel/2006/main">
          <x14:cfRule type="cellIs" priority="24" operator="equal" id="{B58E8053-587B-4BD1-A101-E39C5DEAE320}">
            <xm:f>Data!$L$13</xm:f>
            <x14:dxf>
              <font>
                <color theme="0"/>
              </font>
              <fill>
                <patternFill>
                  <bgColor rgb="FFF25022"/>
                </patternFill>
              </fill>
            </x14:dxf>
          </x14:cfRule>
          <x14:cfRule type="cellIs" priority="25" operator="equal" id="{5E2F0A09-3602-4328-A5F9-35D678E38A2A}">
            <xm:f>Data!$L$12</xm:f>
            <x14:dxf>
              <font>
                <color theme="0"/>
              </font>
              <fill>
                <patternFill>
                  <bgColor rgb="FFF25022"/>
                </patternFill>
              </fill>
            </x14:dxf>
          </x14:cfRule>
          <x14:cfRule type="cellIs" priority="26" operator="equal" id="{CDE81E18-1B62-41C5-93DB-E522B3F41B87}">
            <xm:f>Data!$L$11</xm:f>
            <x14:dxf>
              <font>
                <color theme="0"/>
              </font>
              <fill>
                <patternFill>
                  <bgColor rgb="FFF25022"/>
                </patternFill>
              </fill>
            </x14:dxf>
          </x14:cfRule>
          <x14:cfRule type="cellIs" priority="27" operator="equal" id="{4C592D15-D1BA-48F7-9DA7-2D9752245C69}">
            <xm:f>Data!$L$10</xm:f>
            <x14:dxf>
              <font>
                <color theme="0"/>
              </font>
              <fill>
                <patternFill>
                  <bgColor rgb="FFF25022"/>
                </patternFill>
              </fill>
            </x14:dxf>
          </x14:cfRule>
          <x14:cfRule type="cellIs" priority="28" operator="equal" id="{62C26748-F912-43C0-989F-038BA36B2C65}">
            <xm:f>Data!$L$6</xm:f>
            <x14:dxf>
              <font>
                <color theme="0"/>
              </font>
              <fill>
                <patternFill>
                  <bgColor rgb="FFF25022"/>
                </patternFill>
              </fill>
            </x14:dxf>
          </x14:cfRule>
          <x14:cfRule type="cellIs" priority="29" operator="equal" id="{CFE895FC-800A-4C73-8CC9-4019F376BB41}">
            <xm:f>Data!$L$9</xm:f>
            <x14:dxf>
              <font>
                <color theme="1"/>
              </font>
              <fill>
                <patternFill>
                  <bgColor rgb="FF7FBA00"/>
                </patternFill>
              </fill>
            </x14:dxf>
          </x14:cfRule>
          <x14:cfRule type="cellIs" priority="30" operator="equal" id="{D50E7B9A-23A4-4E76-8370-7CB4190070CD}">
            <xm:f>Data!$L$8</xm:f>
            <x14:dxf>
              <font>
                <color theme="0"/>
              </font>
              <fill>
                <patternFill>
                  <bgColor rgb="FF00A4EF"/>
                </patternFill>
              </fill>
            </x14:dxf>
          </x14:cfRule>
          <x14:cfRule type="cellIs" priority="31" operator="equal" id="{151DB2F8-DE30-4A4B-8090-ABBAED4C00CA}">
            <xm:f>Data!$L$7</xm:f>
            <x14:dxf>
              <font>
                <color theme="1"/>
              </font>
              <fill>
                <patternFill>
                  <bgColor rgb="FFFFB900"/>
                </patternFill>
              </fill>
            </x14:dxf>
          </x14:cfRule>
          <x14:cfRule type="cellIs" priority="32" operator="equal" id="{FA4B96DA-A9DF-4272-BD3C-11B4E4F14781}">
            <xm:f>Data!$L$5</xm:f>
            <x14:dxf>
              <font>
                <color theme="0"/>
              </font>
              <fill>
                <patternFill>
                  <bgColor rgb="FFF25022"/>
                </patternFill>
              </fill>
            </x14:dxf>
          </x14:cfRule>
          <x14:cfRule type="cellIs" priority="33" operator="equal" id="{813FBA82-F24D-4E36-8A44-B6452CAD88EC}">
            <xm:f>Data!$L$6+Data!$L$14</xm:f>
            <x14:dxf>
              <font>
                <color theme="0"/>
              </font>
              <fill>
                <patternFill>
                  <bgColor rgb="FF747474"/>
                </patternFill>
              </fill>
            </x14:dxf>
          </x14:cfRule>
          <xm:sqref>E47:F53</xm:sqref>
        </x14:conditionalFormatting>
      </x14:conditionalFormattings>
    </ext>
    <ext xmlns:x14="http://schemas.microsoft.com/office/spreadsheetml/2009/9/main" uri="{CCE6A557-97BC-4b89-ADB6-D9C93CAAB3DF}">
      <x14:dataValidations xmlns:xm="http://schemas.microsoft.com/office/excel/2006/main" count="3">
        <x14:dataValidation type="list" allowBlank="1" showInputMessage="1" showErrorMessage="1" xr:uid="{F6F66D89-A8F7-4C09-98E9-C6E631C11DC3}">
          <x14:formula1>
            <xm:f>Data!$L$35:$L$37</xm:f>
          </x14:formula1>
          <xm:sqref>E24</xm:sqref>
        </x14:dataValidation>
        <x14:dataValidation type="list" allowBlank="1" showInputMessage="1" showErrorMessage="1" xr:uid="{06B82248-E89F-46B8-B04D-53D72586FA2E}">
          <x14:formula1>
            <xm:f>Data!$H$18:$H$19</xm:f>
          </x14:formula1>
          <xm:sqref>E30 E33</xm:sqref>
        </x14:dataValidation>
        <x14:dataValidation type="list" allowBlank="1" showInputMessage="1" showErrorMessage="1" xr:uid="{FAE905D1-44BA-45D9-86FF-8AB2717972ED}">
          <x14:formula1>
            <xm:f>Data!$H$26:$H$27</xm:f>
          </x14:formula1>
          <xm:sqref>E31 E34</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36AA49-A8E0-4471-97A4-451BD95CF814}">
  <sheetPr>
    <tabColor rgb="FF00A4EF"/>
  </sheetPr>
  <dimension ref="A1:AC91"/>
  <sheetViews>
    <sheetView showGridLines="0" showRowColHeaders="0" topLeftCell="A52" zoomScale="85" zoomScaleNormal="85" workbookViewId="0">
      <selection activeCell="S83" sqref="S83"/>
    </sheetView>
  </sheetViews>
  <sheetFormatPr defaultColWidth="0" defaultRowHeight="14.45" zeroHeight="1" outlineLevelRow="1"/>
  <cols>
    <col min="1" max="2" width="5.85546875" customWidth="1"/>
    <col min="3" max="3" width="3.85546875" customWidth="1"/>
    <col min="4" max="4" width="22.85546875" customWidth="1"/>
    <col min="5" max="5" width="57.140625" bestFit="1" customWidth="1"/>
    <col min="6" max="6" width="19.85546875" bestFit="1" customWidth="1"/>
    <col min="7" max="7" width="13.85546875" bestFit="1" customWidth="1"/>
    <col min="8" max="8" width="27.42578125" bestFit="1" customWidth="1"/>
    <col min="9" max="28" width="8.85546875" customWidth="1"/>
    <col min="29" max="29" width="3.85546875" customWidth="1"/>
    <col min="30" max="16384" width="8.85546875" hidden="1"/>
  </cols>
  <sheetData>
    <row r="1" spans="1:29">
      <c r="A1" s="4"/>
      <c r="B1" s="4"/>
      <c r="C1" s="4"/>
      <c r="D1" s="4"/>
      <c r="E1" s="4"/>
      <c r="F1" s="4"/>
      <c r="G1" s="4"/>
      <c r="H1" s="4"/>
      <c r="I1" s="4"/>
      <c r="J1" s="4"/>
      <c r="K1" s="4"/>
      <c r="L1" s="4"/>
      <c r="M1" s="4"/>
      <c r="N1" s="4"/>
      <c r="O1" s="4"/>
      <c r="P1" s="4"/>
      <c r="Q1" s="4"/>
      <c r="R1" s="4"/>
      <c r="S1" s="4"/>
      <c r="T1" s="4"/>
      <c r="U1" s="4"/>
      <c r="V1" s="4"/>
      <c r="W1" s="4"/>
      <c r="X1" s="4"/>
      <c r="Y1" s="4"/>
      <c r="Z1" s="4"/>
      <c r="AA1" s="4"/>
      <c r="AB1" s="4"/>
      <c r="AC1" s="4"/>
    </row>
    <row r="2" spans="1:29" ht="21">
      <c r="A2" s="4"/>
      <c r="B2" s="4"/>
      <c r="C2" s="618" t="s">
        <v>1607</v>
      </c>
      <c r="D2" s="618"/>
      <c r="E2" s="618"/>
      <c r="F2" s="618"/>
      <c r="G2" s="618"/>
      <c r="H2" s="618"/>
      <c r="I2" s="618"/>
      <c r="J2" s="618"/>
      <c r="K2" s="618"/>
      <c r="L2" s="618"/>
      <c r="M2" s="618"/>
      <c r="N2" s="618"/>
      <c r="O2" s="618"/>
      <c r="P2" s="618"/>
      <c r="Q2" s="618"/>
      <c r="R2" s="618"/>
      <c r="S2" s="618"/>
      <c r="T2" s="618"/>
      <c r="U2" s="618"/>
      <c r="V2" s="618"/>
      <c r="W2" s="618"/>
      <c r="X2" s="618"/>
      <c r="Y2" s="618"/>
      <c r="Z2" s="618"/>
      <c r="AA2" s="618"/>
      <c r="AB2" s="181"/>
      <c r="AC2" s="6"/>
    </row>
    <row r="3" spans="1:29">
      <c r="A3" s="4"/>
      <c r="B3" s="4"/>
      <c r="C3" s="646" t="s">
        <v>1573</v>
      </c>
      <c r="D3" s="646"/>
      <c r="E3" s="646"/>
      <c r="F3" s="646"/>
      <c r="G3" s="646"/>
      <c r="H3" s="646"/>
      <c r="I3" s="646"/>
      <c r="J3" s="646"/>
      <c r="K3" s="646"/>
      <c r="L3" s="646"/>
      <c r="M3" s="646"/>
      <c r="N3" s="646"/>
      <c r="O3" s="646"/>
      <c r="P3" s="646"/>
      <c r="Q3" s="646"/>
      <c r="R3" s="646"/>
      <c r="S3" s="646"/>
      <c r="T3" s="646"/>
      <c r="U3" s="646"/>
      <c r="V3" s="646"/>
      <c r="W3" s="646"/>
      <c r="X3" s="646"/>
      <c r="Y3" s="646"/>
      <c r="Z3" s="646"/>
      <c r="AA3" s="646"/>
      <c r="AB3" s="646"/>
      <c r="AC3" s="4"/>
    </row>
    <row r="4" spans="1:29">
      <c r="A4" s="4"/>
      <c r="B4" s="4"/>
      <c r="C4" s="4"/>
      <c r="D4" s="234"/>
      <c r="E4" s="234"/>
      <c r="F4" s="234"/>
      <c r="G4" s="234"/>
      <c r="H4" s="234"/>
      <c r="I4" s="234"/>
      <c r="J4" s="234"/>
      <c r="K4" s="234"/>
      <c r="L4" s="234"/>
      <c r="M4" s="234"/>
      <c r="N4" s="234"/>
      <c r="O4" s="234"/>
      <c r="P4" s="234"/>
      <c r="Q4" s="234"/>
      <c r="R4" s="234"/>
      <c r="S4" s="234"/>
      <c r="T4" s="234"/>
      <c r="U4" s="234"/>
      <c r="V4" s="234"/>
      <c r="W4" s="234"/>
      <c r="X4" s="234"/>
      <c r="Y4" s="234"/>
      <c r="Z4" s="234"/>
      <c r="AA4" s="234"/>
      <c r="AB4" s="234"/>
      <c r="AC4" s="4"/>
    </row>
    <row r="5" spans="1:29">
      <c r="A5" s="4"/>
      <c r="B5" s="4"/>
      <c r="C5" s="7"/>
      <c r="D5" s="54"/>
      <c r="E5" s="54"/>
      <c r="F5" s="54"/>
      <c r="G5" s="54"/>
      <c r="H5" s="54"/>
      <c r="I5" s="54"/>
      <c r="J5" s="54"/>
      <c r="K5" s="54"/>
      <c r="L5" s="54"/>
      <c r="M5" s="54"/>
      <c r="N5" s="54"/>
      <c r="O5" s="54"/>
      <c r="P5" s="54"/>
      <c r="Q5" s="54"/>
      <c r="R5" s="54"/>
      <c r="S5" s="54"/>
      <c r="T5" s="54"/>
      <c r="U5" s="54"/>
      <c r="V5" s="54"/>
      <c r="W5" s="54"/>
      <c r="X5" s="54"/>
      <c r="Y5" s="54"/>
      <c r="Z5" s="54"/>
      <c r="AA5" s="54"/>
      <c r="AB5" s="54"/>
      <c r="AC5" s="4"/>
    </row>
    <row r="6" spans="1:29">
      <c r="A6" s="4"/>
      <c r="B6" s="4"/>
      <c r="C6" s="7"/>
      <c r="D6" s="107" t="s">
        <v>890</v>
      </c>
      <c r="E6" s="244" t="s">
        <v>891</v>
      </c>
      <c r="F6" s="241"/>
      <c r="G6" s="241"/>
      <c r="H6" s="54"/>
      <c r="I6" s="54"/>
      <c r="J6" s="54"/>
      <c r="K6" s="54"/>
      <c r="L6" s="54"/>
      <c r="M6" s="54"/>
      <c r="N6" s="54"/>
      <c r="O6" s="54"/>
      <c r="P6" s="54"/>
      <c r="Q6" s="54"/>
      <c r="R6" s="54"/>
      <c r="S6" s="54"/>
      <c r="T6" s="54"/>
      <c r="U6" s="54"/>
      <c r="V6" s="54"/>
      <c r="W6" s="54"/>
      <c r="X6" s="54"/>
      <c r="Y6" s="54"/>
      <c r="Z6" s="54"/>
      <c r="AA6" s="54"/>
      <c r="AB6" s="54"/>
      <c r="AC6" s="4"/>
    </row>
    <row r="7" spans="1:29">
      <c r="A7" s="4"/>
      <c r="B7" s="4"/>
      <c r="C7" s="7"/>
      <c r="D7" s="107" t="s">
        <v>892</v>
      </c>
      <c r="E7" s="244" t="s">
        <v>893</v>
      </c>
      <c r="F7" s="241"/>
      <c r="G7" s="241"/>
      <c r="H7" s="54"/>
      <c r="I7" s="54"/>
      <c r="J7" s="54"/>
      <c r="K7" s="54"/>
      <c r="L7" s="54"/>
      <c r="M7" s="54"/>
      <c r="N7" s="54"/>
      <c r="O7" s="54"/>
      <c r="P7" s="54"/>
      <c r="Q7" s="54"/>
      <c r="R7" s="54"/>
      <c r="S7" s="54"/>
      <c r="T7" s="54"/>
      <c r="U7" s="54"/>
      <c r="V7" s="54"/>
      <c r="W7" s="54"/>
      <c r="X7" s="54"/>
      <c r="Y7" s="54"/>
      <c r="Z7" s="54"/>
      <c r="AA7" s="54"/>
      <c r="AB7" s="54"/>
      <c r="AC7" s="4"/>
    </row>
    <row r="8" spans="1:29">
      <c r="A8" s="4"/>
      <c r="B8" s="4"/>
      <c r="C8" s="7"/>
      <c r="D8" s="107" t="s">
        <v>117</v>
      </c>
      <c r="E8" s="244" t="s">
        <v>894</v>
      </c>
      <c r="F8" s="241"/>
      <c r="G8" s="241"/>
      <c r="H8" s="54"/>
      <c r="I8" s="54"/>
      <c r="J8" s="54"/>
      <c r="K8" s="54"/>
      <c r="L8" s="54"/>
      <c r="M8" s="54"/>
      <c r="N8" s="54"/>
      <c r="O8" s="54"/>
      <c r="P8" s="54"/>
      <c r="Q8" s="54"/>
      <c r="R8" s="54"/>
      <c r="S8" s="54"/>
      <c r="T8" s="54"/>
      <c r="U8" s="54"/>
      <c r="V8" s="54"/>
      <c r="W8" s="54"/>
      <c r="X8" s="54"/>
      <c r="Y8" s="54"/>
      <c r="Z8" s="54"/>
      <c r="AA8" s="54"/>
      <c r="AB8" s="54"/>
      <c r="AC8" s="4"/>
    </row>
    <row r="9" spans="1:29">
      <c r="A9" s="4"/>
      <c r="B9" s="4"/>
      <c r="C9" s="7"/>
      <c r="D9" s="107" t="s">
        <v>138</v>
      </c>
      <c r="E9" s="244" t="s">
        <v>834</v>
      </c>
      <c r="F9" s="241"/>
      <c r="G9" s="241"/>
      <c r="H9" s="54"/>
      <c r="I9" s="54"/>
      <c r="J9" s="54"/>
      <c r="K9" s="54"/>
      <c r="L9" s="54"/>
      <c r="M9" s="54"/>
      <c r="N9" s="54"/>
      <c r="O9" s="54"/>
      <c r="P9" s="54"/>
      <c r="Q9" s="54"/>
      <c r="R9" s="54"/>
      <c r="S9" s="54"/>
      <c r="T9" s="54"/>
      <c r="U9" s="54"/>
      <c r="V9" s="54"/>
      <c r="W9" s="54"/>
      <c r="X9" s="54"/>
      <c r="Y9" s="54"/>
      <c r="Z9" s="54"/>
      <c r="AA9" s="54"/>
      <c r="AB9" s="54"/>
      <c r="AC9" s="4"/>
    </row>
    <row r="10" spans="1:29">
      <c r="A10" s="4"/>
      <c r="B10" s="4"/>
      <c r="C10" s="7"/>
      <c r="D10" s="107" t="s">
        <v>822</v>
      </c>
      <c r="E10" s="244"/>
      <c r="F10" s="241"/>
      <c r="G10" s="241"/>
      <c r="H10" s="54"/>
      <c r="I10" s="54"/>
      <c r="J10" s="54"/>
      <c r="K10" s="54"/>
      <c r="L10" s="54"/>
      <c r="M10" s="54"/>
      <c r="N10" s="54"/>
      <c r="O10" s="54"/>
      <c r="P10" s="54"/>
      <c r="Q10" s="54"/>
      <c r="R10" s="54"/>
      <c r="S10" s="54"/>
      <c r="T10" s="54"/>
      <c r="U10" s="54"/>
      <c r="V10" s="54"/>
      <c r="W10" s="54"/>
      <c r="X10" s="54"/>
      <c r="Y10" s="54"/>
      <c r="Z10" s="54"/>
      <c r="AA10" s="54"/>
      <c r="AB10" s="54"/>
      <c r="AC10" s="4"/>
    </row>
    <row r="11" spans="1:29">
      <c r="A11" s="4"/>
      <c r="B11" s="4"/>
      <c r="C11" s="7"/>
      <c r="D11" s="107" t="s">
        <v>895</v>
      </c>
      <c r="E11" s="244"/>
      <c r="F11" s="241"/>
      <c r="G11" s="241"/>
      <c r="H11" s="54"/>
      <c r="I11" s="54"/>
      <c r="J11" s="54"/>
      <c r="K11" s="54"/>
      <c r="L11" s="54"/>
      <c r="M11" s="54"/>
      <c r="N11" s="54"/>
      <c r="O11" s="54"/>
      <c r="P11" s="54"/>
      <c r="Q11" s="54"/>
      <c r="R11" s="54"/>
      <c r="S11" s="54"/>
      <c r="T11" s="54"/>
      <c r="U11" s="54"/>
      <c r="V11" s="54"/>
      <c r="W11" s="54"/>
      <c r="X11" s="54"/>
      <c r="Y11" s="54"/>
      <c r="Z11" s="54"/>
      <c r="AA11" s="54"/>
      <c r="AB11" s="54"/>
      <c r="AC11" s="4"/>
    </row>
    <row r="12" spans="1:29">
      <c r="A12" s="4"/>
      <c r="B12" s="4"/>
      <c r="C12" s="7"/>
      <c r="D12" s="107" t="s">
        <v>896</v>
      </c>
      <c r="E12" s="244"/>
      <c r="F12" s="241"/>
      <c r="G12" s="241"/>
      <c r="H12" s="54"/>
      <c r="I12" s="54"/>
      <c r="J12" s="54"/>
      <c r="K12" s="54"/>
      <c r="L12" s="54"/>
      <c r="M12" s="54"/>
      <c r="N12" s="54"/>
      <c r="O12" s="54"/>
      <c r="P12" s="54"/>
      <c r="Q12" s="54"/>
      <c r="R12" s="54"/>
      <c r="S12" s="54"/>
      <c r="T12" s="54"/>
      <c r="U12" s="54"/>
      <c r="V12" s="54"/>
      <c r="W12" s="54"/>
      <c r="X12" s="54"/>
      <c r="Y12" s="54"/>
      <c r="Z12" s="54"/>
      <c r="AA12" s="54"/>
      <c r="AB12" s="54"/>
      <c r="AC12" s="4"/>
    </row>
    <row r="13" spans="1:29">
      <c r="A13" s="4"/>
      <c r="B13" s="4"/>
      <c r="C13" s="7"/>
      <c r="D13" s="107" t="s">
        <v>477</v>
      </c>
      <c r="E13" s="244"/>
      <c r="F13" s="241"/>
      <c r="G13" s="241"/>
      <c r="H13" s="54"/>
      <c r="I13" s="54"/>
      <c r="J13" s="54"/>
      <c r="K13" s="54"/>
      <c r="L13" s="54"/>
      <c r="M13" s="54"/>
      <c r="N13" s="54"/>
      <c r="O13" s="54"/>
      <c r="P13" s="54"/>
      <c r="Q13" s="54"/>
      <c r="R13" s="54"/>
      <c r="S13" s="54"/>
      <c r="T13" s="54"/>
      <c r="U13" s="54"/>
      <c r="V13" s="54"/>
      <c r="W13" s="54"/>
      <c r="X13" s="54"/>
      <c r="Y13" s="54"/>
      <c r="Z13" s="54"/>
      <c r="AA13" s="54"/>
      <c r="AB13" s="54"/>
      <c r="AC13" s="4"/>
    </row>
    <row r="14" spans="1:29">
      <c r="A14" s="4"/>
      <c r="B14" s="4"/>
      <c r="C14" s="7"/>
      <c r="D14" s="107" t="s">
        <v>478</v>
      </c>
      <c r="E14" s="244"/>
      <c r="F14" s="241"/>
      <c r="G14" s="241"/>
      <c r="H14" s="54"/>
      <c r="I14" s="54"/>
      <c r="J14" s="54"/>
      <c r="K14" s="54"/>
      <c r="L14" s="54"/>
      <c r="M14" s="54"/>
      <c r="N14" s="54"/>
      <c r="O14" s="54"/>
      <c r="P14" s="54"/>
      <c r="Q14" s="54"/>
      <c r="R14" s="54"/>
      <c r="S14" s="54"/>
      <c r="T14" s="54"/>
      <c r="U14" s="54"/>
      <c r="V14" s="54"/>
      <c r="W14" s="54"/>
      <c r="X14" s="54"/>
      <c r="Y14" s="54"/>
      <c r="Z14" s="54"/>
      <c r="AA14" s="54"/>
      <c r="AB14" s="54"/>
      <c r="AC14" s="4"/>
    </row>
    <row r="15" spans="1:29">
      <c r="A15" s="4"/>
      <c r="B15" s="4"/>
      <c r="C15" s="7"/>
      <c r="D15" s="107" t="s">
        <v>897</v>
      </c>
      <c r="E15" s="244" t="s">
        <v>317</v>
      </c>
      <c r="F15" s="241"/>
      <c r="G15" s="241"/>
      <c r="H15" s="54"/>
      <c r="I15" s="54"/>
      <c r="J15" s="54"/>
      <c r="K15" s="54"/>
      <c r="L15" s="54"/>
      <c r="M15" s="54"/>
      <c r="N15" s="54"/>
      <c r="O15" s="54"/>
      <c r="P15" s="54"/>
      <c r="Q15" s="54"/>
      <c r="R15" s="54"/>
      <c r="S15" s="54"/>
      <c r="T15" s="54"/>
      <c r="U15" s="54"/>
      <c r="V15" s="54"/>
      <c r="W15" s="54"/>
      <c r="X15" s="54"/>
      <c r="Y15" s="54"/>
      <c r="Z15" s="54"/>
      <c r="AA15" s="54"/>
      <c r="AB15" s="54"/>
      <c r="AC15" s="4"/>
    </row>
    <row r="16" spans="1:29">
      <c r="A16" s="4"/>
      <c r="B16" s="4"/>
      <c r="C16" s="7"/>
      <c r="D16" s="107" t="s">
        <v>267</v>
      </c>
      <c r="E16" s="245" t="s">
        <v>328</v>
      </c>
      <c r="F16" s="242"/>
      <c r="G16" s="242"/>
      <c r="H16" s="54"/>
      <c r="I16" s="54"/>
      <c r="J16" s="54"/>
      <c r="K16" s="54"/>
      <c r="L16" s="54"/>
      <c r="M16" s="54"/>
      <c r="N16" s="54"/>
      <c r="O16" s="54"/>
      <c r="P16" s="54"/>
      <c r="Q16" s="54"/>
      <c r="R16" s="54"/>
      <c r="S16" s="54"/>
      <c r="T16" s="54"/>
      <c r="U16" s="54"/>
      <c r="V16" s="54"/>
      <c r="W16" s="54"/>
      <c r="X16" s="54"/>
      <c r="Y16" s="54"/>
      <c r="Z16" s="54"/>
      <c r="AA16" s="54"/>
      <c r="AB16" s="54"/>
      <c r="AC16" s="4"/>
    </row>
    <row r="17" spans="1:29">
      <c r="A17" s="4"/>
      <c r="B17" s="4"/>
      <c r="C17" s="7"/>
      <c r="D17" s="107" t="s">
        <v>898</v>
      </c>
      <c r="E17" s="372" t="s">
        <v>899</v>
      </c>
      <c r="F17" s="242"/>
      <c r="G17" s="242"/>
      <c r="H17" s="54"/>
      <c r="I17" s="54"/>
      <c r="J17" s="54"/>
      <c r="K17" s="54"/>
      <c r="L17" s="54"/>
      <c r="M17" s="54"/>
      <c r="N17" s="54"/>
      <c r="O17" s="54"/>
      <c r="P17" s="54"/>
      <c r="Q17" s="54"/>
      <c r="R17" s="54"/>
      <c r="S17" s="54"/>
      <c r="T17" s="54"/>
      <c r="U17" s="54"/>
      <c r="V17" s="54"/>
      <c r="W17" s="54"/>
      <c r="X17" s="54"/>
      <c r="Y17" s="54"/>
      <c r="Z17" s="54"/>
      <c r="AA17" s="54"/>
      <c r="AB17" s="54"/>
      <c r="AC17" s="4"/>
    </row>
    <row r="18" spans="1:29">
      <c r="A18" s="4"/>
      <c r="B18" s="4"/>
      <c r="C18" s="7"/>
      <c r="D18" s="107" t="s">
        <v>900</v>
      </c>
      <c r="E18" s="246">
        <v>45020</v>
      </c>
      <c r="F18" s="243"/>
      <c r="G18" s="243"/>
      <c r="H18" s="54"/>
      <c r="I18" s="54"/>
      <c r="J18" s="54"/>
      <c r="K18" s="54"/>
      <c r="L18" s="54"/>
      <c r="M18" s="54"/>
      <c r="N18" s="54"/>
      <c r="O18" s="54"/>
      <c r="P18" s="54"/>
      <c r="Q18" s="54"/>
      <c r="R18" s="54"/>
      <c r="S18" s="54"/>
      <c r="T18" s="54"/>
      <c r="U18" s="54"/>
      <c r="V18" s="54"/>
      <c r="W18" s="54"/>
      <c r="X18" s="54"/>
      <c r="Y18" s="54"/>
      <c r="Z18" s="54"/>
      <c r="AA18" s="54"/>
      <c r="AB18" s="54"/>
      <c r="AC18" s="4"/>
    </row>
    <row r="19" spans="1:29">
      <c r="A19" s="4"/>
      <c r="B19" s="4"/>
      <c r="C19" s="7"/>
      <c r="D19" s="107" t="s">
        <v>901</v>
      </c>
      <c r="E19" s="246">
        <v>45386</v>
      </c>
      <c r="F19" s="243"/>
      <c r="G19" s="243"/>
      <c r="H19" s="54"/>
      <c r="I19" s="54"/>
      <c r="J19" s="54"/>
      <c r="K19" s="54"/>
      <c r="L19" s="54"/>
      <c r="M19" s="54"/>
      <c r="N19" s="54"/>
      <c r="O19" s="54"/>
      <c r="P19" s="54"/>
      <c r="Q19" s="54"/>
      <c r="R19" s="54"/>
      <c r="S19" s="54"/>
      <c r="T19" s="54"/>
      <c r="U19" s="54"/>
      <c r="V19" s="54"/>
      <c r="W19" s="54"/>
      <c r="X19" s="54"/>
      <c r="Y19" s="54"/>
      <c r="Z19" s="54"/>
      <c r="AA19" s="54"/>
      <c r="AB19" s="54"/>
      <c r="AC19" s="4"/>
    </row>
    <row r="20" spans="1:29">
      <c r="A20" s="4"/>
      <c r="B20" s="4"/>
      <c r="C20" s="7"/>
      <c r="D20" s="107" t="s">
        <v>902</v>
      </c>
      <c r="E20" s="247">
        <v>43160</v>
      </c>
      <c r="F20" s="87"/>
      <c r="G20" s="87"/>
      <c r="H20" s="54"/>
      <c r="I20" s="54"/>
      <c r="J20" s="54"/>
      <c r="K20" s="54"/>
      <c r="L20" s="54"/>
      <c r="M20" s="54"/>
      <c r="N20" s="54"/>
      <c r="O20" s="54"/>
      <c r="P20" s="54"/>
      <c r="Q20" s="54"/>
      <c r="R20" s="54"/>
      <c r="S20" s="54"/>
      <c r="T20" s="54"/>
      <c r="U20" s="54"/>
      <c r="V20" s="54"/>
      <c r="W20" s="54"/>
      <c r="X20" s="54"/>
      <c r="Y20" s="54"/>
      <c r="Z20" s="54"/>
      <c r="AA20" s="54"/>
      <c r="AB20" s="54"/>
      <c r="AC20" s="4"/>
    </row>
    <row r="21" spans="1:29">
      <c r="A21" s="4"/>
      <c r="B21" s="4"/>
      <c r="C21" s="7"/>
      <c r="D21" s="107" t="s">
        <v>903</v>
      </c>
      <c r="E21" s="247" t="s">
        <v>904</v>
      </c>
      <c r="F21" s="87"/>
      <c r="G21" s="87"/>
      <c r="H21" s="54"/>
      <c r="I21" s="54"/>
      <c r="J21" s="54"/>
      <c r="K21" s="54"/>
      <c r="L21" s="54"/>
      <c r="M21" s="54"/>
      <c r="N21" s="54"/>
      <c r="O21" s="54"/>
      <c r="P21" s="54"/>
      <c r="Q21" s="54"/>
      <c r="R21" s="54"/>
      <c r="S21" s="54"/>
      <c r="T21" s="54"/>
      <c r="U21" s="54"/>
      <c r="V21" s="54"/>
      <c r="W21" s="54"/>
      <c r="X21" s="54"/>
      <c r="Y21" s="54"/>
      <c r="Z21" s="54"/>
      <c r="AA21" s="54"/>
      <c r="AB21" s="54"/>
      <c r="AC21" s="4"/>
    </row>
    <row r="22" spans="1:29">
      <c r="A22" s="4"/>
      <c r="B22" s="4"/>
      <c r="C22" s="7"/>
      <c r="D22" s="107" t="s">
        <v>905</v>
      </c>
      <c r="E22" s="247" t="s">
        <v>906</v>
      </c>
      <c r="F22" s="87"/>
      <c r="G22" s="87"/>
      <c r="H22" s="54"/>
      <c r="I22" s="54"/>
      <c r="J22" s="54"/>
      <c r="K22" s="54"/>
      <c r="L22" s="54"/>
      <c r="M22" s="54"/>
      <c r="N22" s="54"/>
      <c r="O22" s="54"/>
      <c r="P22" s="54"/>
      <c r="Q22" s="54"/>
      <c r="R22" s="54"/>
      <c r="S22" s="54"/>
      <c r="T22" s="54"/>
      <c r="U22" s="54"/>
      <c r="V22" s="54"/>
      <c r="W22" s="54"/>
      <c r="X22" s="54"/>
      <c r="Y22" s="54"/>
      <c r="Z22" s="54"/>
      <c r="AA22" s="54"/>
      <c r="AB22" s="54"/>
      <c r="AC22" s="4"/>
    </row>
    <row r="23" spans="1:29">
      <c r="A23" s="4"/>
      <c r="B23" s="4"/>
      <c r="C23" s="7"/>
      <c r="D23" s="108" t="s">
        <v>907</v>
      </c>
      <c r="E23" s="248" t="s">
        <v>908</v>
      </c>
      <c r="F23" s="67"/>
      <c r="G23" s="67"/>
      <c r="H23" s="54"/>
      <c r="I23" s="54"/>
      <c r="J23" s="54"/>
      <c r="K23" s="54"/>
      <c r="L23" s="54"/>
      <c r="M23" s="54"/>
      <c r="N23" s="54"/>
      <c r="O23" s="54"/>
      <c r="P23" s="54"/>
      <c r="Q23" s="54"/>
      <c r="R23" s="54"/>
      <c r="S23" s="54"/>
      <c r="T23" s="54"/>
      <c r="U23" s="54"/>
      <c r="V23" s="54"/>
      <c r="W23" s="54"/>
      <c r="X23" s="54"/>
      <c r="Y23" s="54"/>
      <c r="Z23" s="54"/>
      <c r="AA23" s="54"/>
      <c r="AB23" s="54"/>
      <c r="AC23" s="4"/>
    </row>
    <row r="24" spans="1:29" ht="16.5">
      <c r="A24" s="4"/>
      <c r="B24" s="4"/>
      <c r="C24" s="7"/>
      <c r="D24" s="108" t="s">
        <v>1574</v>
      </c>
      <c r="E24" s="262" t="s">
        <v>1575</v>
      </c>
      <c r="F24" s="67"/>
      <c r="G24" s="67"/>
      <c r="H24" s="54"/>
      <c r="I24" s="54"/>
      <c r="J24" s="54"/>
      <c r="K24" s="54"/>
      <c r="L24" s="54"/>
      <c r="M24" s="54"/>
      <c r="N24" s="54"/>
      <c r="O24" s="54"/>
      <c r="P24" s="54"/>
      <c r="Q24" s="54"/>
      <c r="R24" s="54"/>
      <c r="S24" s="54"/>
      <c r="T24" s="54"/>
      <c r="U24" s="54"/>
      <c r="V24" s="54"/>
      <c r="W24" s="54"/>
      <c r="X24" s="54"/>
      <c r="Y24" s="54"/>
      <c r="Z24" s="54"/>
      <c r="AA24" s="54"/>
      <c r="AB24" s="54"/>
      <c r="AC24" s="4"/>
    </row>
    <row r="25" spans="1:29">
      <c r="A25" s="4"/>
      <c r="B25" s="4"/>
      <c r="C25" s="7"/>
      <c r="D25" s="108" t="s">
        <v>1576</v>
      </c>
      <c r="E25" s="262" t="str">
        <f>IF(E24="Full Scale", "Yes", "No")</f>
        <v>Yes</v>
      </c>
      <c r="F25" s="67"/>
      <c r="G25" s="67"/>
      <c r="H25" s="54"/>
      <c r="I25" s="54"/>
      <c r="J25" s="54"/>
      <c r="K25" s="54"/>
      <c r="L25" s="54"/>
      <c r="M25" s="54"/>
      <c r="N25" s="54"/>
      <c r="O25" s="54"/>
      <c r="P25" s="54"/>
      <c r="Q25" s="54"/>
      <c r="R25" s="54"/>
      <c r="S25" s="54"/>
      <c r="T25" s="54"/>
      <c r="U25" s="54"/>
      <c r="V25" s="54"/>
      <c r="W25" s="54"/>
      <c r="X25" s="54"/>
      <c r="Y25" s="54"/>
      <c r="Z25" s="54"/>
      <c r="AA25" s="54"/>
      <c r="AB25" s="54"/>
      <c r="AC25" s="4"/>
    </row>
    <row r="26" spans="1:29">
      <c r="A26" s="4"/>
      <c r="B26" s="4"/>
      <c r="C26" s="7"/>
      <c r="D26" s="108" t="s">
        <v>1577</v>
      </c>
      <c r="E26" s="260" t="s">
        <v>318</v>
      </c>
      <c r="F26" s="67"/>
      <c r="G26" s="67"/>
      <c r="H26" s="54"/>
      <c r="I26" s="54"/>
      <c r="J26" s="54"/>
      <c r="K26" s="54"/>
      <c r="L26" s="54"/>
      <c r="M26" s="54"/>
      <c r="N26" s="54"/>
      <c r="O26" s="54"/>
      <c r="P26" s="54"/>
      <c r="Q26" s="54"/>
      <c r="R26" s="54"/>
      <c r="S26" s="54"/>
      <c r="T26" s="54"/>
      <c r="U26" s="54"/>
      <c r="V26" s="54"/>
      <c r="W26" s="54"/>
      <c r="X26" s="54"/>
      <c r="Y26" s="54"/>
      <c r="Z26" s="54"/>
      <c r="AA26" s="54"/>
      <c r="AB26" s="54"/>
      <c r="AC26" s="4"/>
    </row>
    <row r="27" spans="1:29">
      <c r="A27" s="4"/>
      <c r="B27" s="4"/>
      <c r="C27" s="7"/>
      <c r="D27" s="108" t="s">
        <v>1578</v>
      </c>
      <c r="E27" s="247" t="s">
        <v>317</v>
      </c>
      <c r="F27" s="67"/>
      <c r="G27" s="67"/>
      <c r="H27" s="54"/>
      <c r="I27" s="54"/>
      <c r="J27" s="54"/>
      <c r="K27" s="54"/>
      <c r="L27" s="54"/>
      <c r="M27" s="54"/>
      <c r="N27" s="54"/>
      <c r="O27" s="54"/>
      <c r="P27" s="54"/>
      <c r="Q27" s="54"/>
      <c r="R27" s="54"/>
      <c r="S27" s="54"/>
      <c r="T27" s="54"/>
      <c r="U27" s="54"/>
      <c r="V27" s="54"/>
      <c r="W27" s="54"/>
      <c r="X27" s="54"/>
      <c r="Y27" s="54"/>
      <c r="Z27" s="54"/>
      <c r="AA27" s="54"/>
      <c r="AB27" s="54"/>
      <c r="AC27" s="4"/>
    </row>
    <row r="28" spans="1:29">
      <c r="A28" s="4"/>
      <c r="B28" s="4"/>
      <c r="C28" s="7"/>
      <c r="D28" s="108" t="s">
        <v>1579</v>
      </c>
      <c r="E28" s="261">
        <v>6</v>
      </c>
      <c r="F28" s="67"/>
      <c r="G28" s="67"/>
      <c r="H28" s="54"/>
      <c r="I28" s="54"/>
      <c r="J28" s="54"/>
      <c r="K28" s="54"/>
      <c r="L28" s="54"/>
      <c r="M28" s="54"/>
      <c r="N28" s="54"/>
      <c r="O28" s="54"/>
      <c r="P28" s="54"/>
      <c r="Q28" s="54"/>
      <c r="R28" s="54"/>
      <c r="S28" s="54"/>
      <c r="T28" s="54"/>
      <c r="U28" s="54"/>
      <c r="V28" s="54"/>
      <c r="W28" s="54"/>
      <c r="X28" s="54"/>
      <c r="Y28" s="54"/>
      <c r="Z28" s="54"/>
      <c r="AA28" s="54"/>
      <c r="AB28" s="54"/>
      <c r="AC28" s="4"/>
    </row>
    <row r="29" spans="1:29">
      <c r="A29" s="4"/>
      <c r="B29" s="4"/>
      <c r="C29" s="7"/>
      <c r="D29" s="108" t="s">
        <v>811</v>
      </c>
      <c r="E29" s="246">
        <v>44896</v>
      </c>
      <c r="F29" s="67"/>
      <c r="G29" s="67"/>
      <c r="H29" s="54"/>
      <c r="I29" s="54"/>
      <c r="J29" s="54"/>
      <c r="K29" s="54"/>
      <c r="L29" s="54"/>
      <c r="M29" s="54"/>
      <c r="N29" s="54"/>
      <c r="O29" s="54"/>
      <c r="P29" s="54"/>
      <c r="Q29" s="54"/>
      <c r="R29" s="54"/>
      <c r="S29" s="54"/>
      <c r="T29" s="54"/>
      <c r="U29" s="54"/>
      <c r="V29" s="54"/>
      <c r="W29" s="54"/>
      <c r="X29" s="54"/>
      <c r="Y29" s="54"/>
      <c r="Z29" s="54"/>
      <c r="AA29" s="54"/>
      <c r="AB29" s="54"/>
      <c r="AC29" s="4"/>
    </row>
    <row r="30" spans="1:29">
      <c r="A30" s="4"/>
      <c r="B30" s="4"/>
      <c r="C30" s="7"/>
      <c r="D30" s="108" t="s">
        <v>1580</v>
      </c>
      <c r="E30" s="246" t="s">
        <v>1567</v>
      </c>
      <c r="F30" s="67"/>
      <c r="G30" s="67"/>
      <c r="H30" s="54"/>
      <c r="I30" s="54"/>
      <c r="J30" s="54"/>
      <c r="K30" s="54"/>
      <c r="L30" s="54"/>
      <c r="M30" s="54"/>
      <c r="N30" s="54"/>
      <c r="O30" s="54"/>
      <c r="P30" s="54"/>
      <c r="Q30" s="54"/>
      <c r="R30" s="54"/>
      <c r="S30" s="54"/>
      <c r="T30" s="54"/>
      <c r="U30" s="54"/>
      <c r="V30" s="54"/>
      <c r="W30" s="54"/>
      <c r="X30" s="54"/>
      <c r="Y30" s="54"/>
      <c r="Z30" s="54"/>
      <c r="AA30" s="54"/>
      <c r="AB30" s="54"/>
      <c r="AC30" s="4"/>
    </row>
    <row r="31" spans="1:29">
      <c r="A31" s="4"/>
      <c r="B31" s="4"/>
      <c r="C31" s="7"/>
      <c r="D31" s="108" t="s">
        <v>813</v>
      </c>
      <c r="E31" s="246" t="s">
        <v>1571</v>
      </c>
      <c r="F31" s="67"/>
      <c r="G31" s="67"/>
      <c r="H31" s="54"/>
      <c r="I31" s="54"/>
      <c r="J31" s="54"/>
      <c r="K31" s="54"/>
      <c r="L31" s="54"/>
      <c r="M31" s="54"/>
      <c r="N31" s="54"/>
      <c r="O31" s="54"/>
      <c r="P31" s="54"/>
      <c r="Q31" s="54"/>
      <c r="R31" s="54"/>
      <c r="S31" s="54"/>
      <c r="T31" s="54"/>
      <c r="U31" s="54"/>
      <c r="V31" s="54"/>
      <c r="W31" s="54"/>
      <c r="X31" s="54"/>
      <c r="Y31" s="54"/>
      <c r="Z31" s="54"/>
      <c r="AA31" s="54"/>
      <c r="AB31" s="54"/>
      <c r="AC31" s="4"/>
    </row>
    <row r="32" spans="1:29">
      <c r="A32" s="4"/>
      <c r="B32" s="4"/>
      <c r="C32" s="7"/>
      <c r="D32" s="108" t="s">
        <v>1581</v>
      </c>
      <c r="E32" s="246">
        <f>DATE(YEAR(E29),MONTH(E29)+6,DAY(E29))</f>
        <v>45078</v>
      </c>
      <c r="F32" s="67"/>
      <c r="G32" s="67"/>
      <c r="H32" s="54"/>
      <c r="I32" s="54"/>
      <c r="J32" s="54"/>
      <c r="K32" s="54"/>
      <c r="L32" s="54"/>
      <c r="M32" s="54"/>
      <c r="N32" s="54"/>
      <c r="O32" s="54"/>
      <c r="P32" s="54"/>
      <c r="Q32" s="54"/>
      <c r="R32" s="54"/>
      <c r="S32" s="54"/>
      <c r="T32" s="54"/>
      <c r="U32" s="54"/>
      <c r="V32" s="54"/>
      <c r="W32" s="54"/>
      <c r="X32" s="54"/>
      <c r="Y32" s="54"/>
      <c r="Z32" s="54"/>
      <c r="AA32" s="54"/>
      <c r="AB32" s="54"/>
      <c r="AC32" s="4"/>
    </row>
    <row r="33" spans="1:29">
      <c r="A33" s="4"/>
      <c r="B33" s="4"/>
      <c r="C33" s="7"/>
      <c r="D33" s="108" t="s">
        <v>1582</v>
      </c>
      <c r="E33" s="246"/>
      <c r="F33" s="67"/>
      <c r="G33" s="67"/>
      <c r="H33" s="54"/>
      <c r="I33" s="54"/>
      <c r="J33" s="54"/>
      <c r="K33" s="54"/>
      <c r="L33" s="54"/>
      <c r="M33" s="54"/>
      <c r="N33" s="54"/>
      <c r="O33" s="54"/>
      <c r="P33" s="54"/>
      <c r="Q33" s="54"/>
      <c r="R33" s="54"/>
      <c r="S33" s="54"/>
      <c r="T33" s="54"/>
      <c r="U33" s="54"/>
      <c r="V33" s="54"/>
      <c r="W33" s="54"/>
      <c r="X33" s="54"/>
      <c r="Y33" s="54"/>
      <c r="Z33" s="54"/>
      <c r="AA33" s="54"/>
      <c r="AB33" s="54"/>
      <c r="AC33" s="4"/>
    </row>
    <row r="34" spans="1:29">
      <c r="A34" s="4"/>
      <c r="B34" s="4"/>
      <c r="C34" s="7"/>
      <c r="D34" s="108" t="s">
        <v>1583</v>
      </c>
      <c r="E34" s="246"/>
      <c r="F34" s="67"/>
      <c r="G34" s="67"/>
      <c r="H34" s="54"/>
      <c r="I34" s="54"/>
      <c r="J34" s="54"/>
      <c r="K34" s="54"/>
      <c r="L34" s="54"/>
      <c r="M34" s="54"/>
      <c r="N34" s="54"/>
      <c r="O34" s="54"/>
      <c r="P34" s="54"/>
      <c r="Q34" s="54"/>
      <c r="R34" s="54"/>
      <c r="S34" s="54"/>
      <c r="T34" s="54"/>
      <c r="U34" s="54"/>
      <c r="V34" s="54"/>
      <c r="W34" s="54"/>
      <c r="X34" s="54"/>
      <c r="Y34" s="54"/>
      <c r="Z34" s="54"/>
      <c r="AA34" s="54"/>
      <c r="AB34" s="54"/>
      <c r="AC34" s="4"/>
    </row>
    <row r="35" spans="1:29">
      <c r="A35" s="4"/>
      <c r="B35" s="4"/>
      <c r="C35" s="7"/>
      <c r="D35" s="108" t="s">
        <v>817</v>
      </c>
      <c r="E35" s="246">
        <f>DATE(YEAR(E32),MONTH(E32)+E28,DAY(E32))</f>
        <v>45261</v>
      </c>
      <c r="F35" s="67"/>
      <c r="G35" s="67"/>
      <c r="H35" s="54"/>
      <c r="I35" s="54"/>
      <c r="J35" s="54"/>
      <c r="K35" s="54"/>
      <c r="L35" s="54"/>
      <c r="M35" s="54"/>
      <c r="N35" s="54"/>
      <c r="O35" s="54"/>
      <c r="P35" s="54"/>
      <c r="Q35" s="54"/>
      <c r="R35" s="54"/>
      <c r="S35" s="54"/>
      <c r="T35" s="54"/>
      <c r="U35" s="54"/>
      <c r="V35" s="54"/>
      <c r="W35" s="54"/>
      <c r="X35" s="54"/>
      <c r="Y35" s="54"/>
      <c r="Z35" s="54"/>
      <c r="AA35" s="54"/>
      <c r="AB35" s="54"/>
      <c r="AC35" s="4"/>
    </row>
    <row r="36" spans="1:29">
      <c r="A36" s="4"/>
      <c r="B36" s="4"/>
      <c r="C36" s="7"/>
      <c r="D36" s="54"/>
      <c r="E36" s="54"/>
      <c r="F36" s="160"/>
      <c r="G36" s="160"/>
      <c r="H36" s="54"/>
      <c r="I36" s="54"/>
      <c r="J36" s="54"/>
      <c r="K36" s="54"/>
      <c r="L36" s="54"/>
      <c r="M36" s="54"/>
      <c r="N36" s="54"/>
      <c r="O36" s="54"/>
      <c r="P36" s="54"/>
      <c r="Q36" s="54"/>
      <c r="R36" s="54"/>
      <c r="S36" s="54"/>
      <c r="T36" s="54"/>
      <c r="U36" s="54"/>
      <c r="V36" s="54"/>
      <c r="W36" s="54"/>
      <c r="X36" s="54"/>
      <c r="Y36" s="54"/>
      <c r="Z36" s="54"/>
      <c r="AA36" s="54"/>
      <c r="AB36" s="54"/>
      <c r="AC36" s="4"/>
    </row>
    <row r="37" spans="1:29">
      <c r="A37" s="4"/>
      <c r="B37" s="4"/>
      <c r="C37" s="4"/>
      <c r="D37" s="4"/>
      <c r="E37" s="4"/>
      <c r="F37" s="4"/>
      <c r="G37" s="4"/>
      <c r="H37" s="4"/>
      <c r="I37" s="4"/>
      <c r="J37" s="4"/>
      <c r="K37" s="4"/>
      <c r="L37" s="4"/>
      <c r="M37" s="4"/>
      <c r="N37" s="4"/>
      <c r="O37" s="4"/>
      <c r="P37" s="4"/>
      <c r="Q37" s="4"/>
      <c r="R37" s="4"/>
      <c r="S37" s="4"/>
      <c r="T37" s="4"/>
      <c r="U37" s="4"/>
      <c r="V37" s="4"/>
      <c r="W37" s="4"/>
      <c r="X37" s="4"/>
      <c r="Y37" s="4"/>
      <c r="Z37" s="4"/>
      <c r="AA37" s="4"/>
      <c r="AB37" s="4"/>
      <c r="AC37" s="4"/>
    </row>
    <row r="38" spans="1:29">
      <c r="A38" s="4"/>
      <c r="B38" s="4"/>
      <c r="C38" s="7" t="s">
        <v>1584</v>
      </c>
      <c r="D38" s="7"/>
      <c r="E38" s="7"/>
      <c r="F38" s="7"/>
      <c r="G38" s="7"/>
      <c r="H38" s="7"/>
      <c r="I38" s="7"/>
      <c r="J38" s="7"/>
      <c r="K38" s="7"/>
      <c r="L38" s="7"/>
      <c r="M38" s="7"/>
      <c r="N38" s="7"/>
      <c r="O38" s="7"/>
      <c r="P38" s="7"/>
      <c r="Q38" s="7"/>
      <c r="R38" s="7"/>
      <c r="S38" s="7"/>
      <c r="T38" s="7"/>
      <c r="U38" s="7"/>
      <c r="V38" s="7"/>
      <c r="W38" s="7"/>
      <c r="X38" s="7"/>
      <c r="Y38" s="7"/>
      <c r="Z38" s="7"/>
      <c r="AA38" s="7"/>
      <c r="AB38" s="7"/>
      <c r="AC38" s="4"/>
    </row>
    <row r="39" spans="1:29" ht="16.5">
      <c r="A39" s="4"/>
      <c r="B39" s="4"/>
      <c r="C39" s="7" t="s">
        <v>1585</v>
      </c>
      <c r="D39" s="7"/>
      <c r="E39" s="7"/>
      <c r="F39" s="7"/>
      <c r="G39" s="7"/>
      <c r="H39" s="7"/>
      <c r="I39" s="7"/>
      <c r="J39" s="7"/>
      <c r="K39" s="7"/>
      <c r="L39" s="7"/>
      <c r="M39" s="7"/>
      <c r="N39" s="7"/>
      <c r="O39" s="7"/>
      <c r="P39" s="7"/>
      <c r="Q39" s="7"/>
      <c r="R39" s="7"/>
      <c r="S39" s="7"/>
      <c r="T39" s="7"/>
      <c r="U39" s="7"/>
      <c r="V39" s="7"/>
      <c r="W39" s="7"/>
      <c r="X39" s="7"/>
      <c r="Y39" s="7"/>
      <c r="Z39" s="7"/>
      <c r="AA39" s="7"/>
      <c r="AB39" s="7"/>
      <c r="AC39" s="4"/>
    </row>
    <row r="40" spans="1:29" ht="16.5">
      <c r="A40" s="4"/>
      <c r="B40" s="4"/>
      <c r="C40" s="7" t="s">
        <v>1586</v>
      </c>
      <c r="D40" s="54"/>
      <c r="E40" s="54"/>
      <c r="F40" s="54"/>
      <c r="G40" s="54"/>
      <c r="H40" s="54"/>
      <c r="I40" s="54"/>
      <c r="J40" s="54"/>
      <c r="K40" s="54"/>
      <c r="L40" s="54"/>
      <c r="M40" s="54"/>
      <c r="N40" s="54"/>
      <c r="O40" s="54"/>
      <c r="P40" s="54"/>
      <c r="Q40" s="54"/>
      <c r="R40" s="54"/>
      <c r="S40" s="54"/>
      <c r="T40" s="54"/>
      <c r="U40" s="54"/>
      <c r="V40" s="54"/>
      <c r="W40" s="54"/>
      <c r="X40" s="54"/>
      <c r="Y40" s="54"/>
      <c r="Z40" s="54"/>
      <c r="AA40" s="54"/>
      <c r="AB40" s="54"/>
      <c r="AC40" s="4"/>
    </row>
    <row r="41" spans="1:29" ht="16.5">
      <c r="A41" s="4"/>
      <c r="B41" s="4"/>
      <c r="C41" s="7" t="s">
        <v>1587</v>
      </c>
      <c r="D41" s="7"/>
      <c r="E41" s="7"/>
      <c r="F41" s="7"/>
      <c r="G41" s="7"/>
      <c r="H41" s="7"/>
      <c r="I41" s="7"/>
      <c r="J41" s="7"/>
      <c r="K41" s="7"/>
      <c r="L41" s="7"/>
      <c r="M41" s="7"/>
      <c r="N41" s="7"/>
      <c r="O41" s="7"/>
      <c r="P41" s="7"/>
      <c r="Q41" s="7"/>
      <c r="R41" s="7"/>
      <c r="S41" s="7"/>
      <c r="T41" s="7"/>
      <c r="U41" s="7"/>
      <c r="V41" s="7"/>
      <c r="W41" s="7"/>
      <c r="X41" s="7"/>
      <c r="Y41" s="7"/>
      <c r="Z41" s="7"/>
      <c r="AA41" s="7"/>
      <c r="AB41" s="7"/>
      <c r="AC41" s="4"/>
    </row>
    <row r="42" spans="1:29">
      <c r="A42" s="4"/>
      <c r="B42" s="4"/>
      <c r="C42" s="4"/>
      <c r="D42" s="4"/>
      <c r="E42" s="4"/>
      <c r="F42" s="4"/>
      <c r="G42" s="4"/>
      <c r="H42" s="4"/>
      <c r="I42" s="4"/>
      <c r="J42" s="4"/>
      <c r="K42" s="4"/>
      <c r="L42" s="4"/>
      <c r="M42" s="4"/>
      <c r="N42" s="4"/>
      <c r="O42" s="4"/>
      <c r="P42" s="4"/>
      <c r="Q42" s="4"/>
      <c r="R42" s="4"/>
      <c r="S42" s="4"/>
      <c r="T42" s="4"/>
      <c r="U42" s="4"/>
      <c r="V42" s="4"/>
      <c r="W42" s="4"/>
      <c r="X42" s="4"/>
      <c r="Y42" s="4"/>
      <c r="Z42" s="4"/>
      <c r="AA42" s="4"/>
      <c r="AB42" s="4"/>
      <c r="AC42" s="4"/>
    </row>
    <row r="43" spans="1:29" s="123" customFormat="1" ht="18.600000000000001">
      <c r="A43" s="102"/>
      <c r="B43" s="102"/>
      <c r="C43" s="102" t="s">
        <v>944</v>
      </c>
      <c r="D43" s="102"/>
      <c r="E43" s="102"/>
      <c r="F43" s="102"/>
      <c r="G43" s="102"/>
      <c r="H43" s="102"/>
      <c r="I43" s="102"/>
      <c r="J43" s="102"/>
      <c r="K43" s="102"/>
      <c r="L43" s="102"/>
      <c r="M43" s="102"/>
      <c r="N43" s="102"/>
      <c r="O43" s="102"/>
      <c r="P43" s="102"/>
      <c r="Q43" s="102"/>
      <c r="R43" s="102"/>
      <c r="S43" s="102"/>
      <c r="T43" s="102"/>
      <c r="U43" s="102"/>
      <c r="V43" s="102"/>
      <c r="W43" s="102"/>
      <c r="X43" s="102"/>
      <c r="Y43" s="102"/>
      <c r="Z43" s="102"/>
      <c r="AA43" s="102"/>
      <c r="AB43" s="102"/>
      <c r="AC43" s="102"/>
    </row>
    <row r="44" spans="1:29" outlineLevel="1">
      <c r="A44" s="4"/>
      <c r="B44" s="4"/>
      <c r="C44" s="4"/>
      <c r="D44" s="4"/>
      <c r="E44" s="4"/>
      <c r="F44" s="4"/>
      <c r="G44" s="4"/>
      <c r="H44" s="4"/>
      <c r="I44" s="4"/>
      <c r="J44" s="4"/>
      <c r="K44" s="4"/>
      <c r="L44" s="4"/>
      <c r="M44" s="4"/>
      <c r="N44" s="4"/>
      <c r="O44" s="4"/>
      <c r="P44" s="4"/>
      <c r="Q44" s="4"/>
      <c r="R44" s="4"/>
      <c r="S44" s="4"/>
      <c r="T44" s="4"/>
      <c r="U44" s="4"/>
      <c r="V44" s="4"/>
      <c r="W44" s="4"/>
      <c r="X44" s="4"/>
      <c r="Y44" s="4"/>
      <c r="Z44" s="4"/>
      <c r="AA44" s="4"/>
      <c r="AB44" s="4"/>
      <c r="AC44" s="4"/>
    </row>
    <row r="45" spans="1:29" outlineLevel="1">
      <c r="A45" s="4"/>
      <c r="B45" s="4"/>
      <c r="C45" s="7"/>
      <c r="D45" s="7"/>
      <c r="E45" s="7"/>
      <c r="F45" s="7"/>
      <c r="G45" s="7"/>
      <c r="H45" s="7"/>
      <c r="I45" s="7"/>
      <c r="J45" s="7"/>
      <c r="K45" s="7"/>
      <c r="L45" s="7"/>
      <c r="M45" s="7"/>
      <c r="N45" s="7"/>
      <c r="O45" s="7"/>
      <c r="P45" s="7"/>
      <c r="Q45" s="7"/>
      <c r="R45" s="7"/>
      <c r="S45" s="7"/>
      <c r="T45" s="7"/>
      <c r="U45" s="7"/>
      <c r="V45" s="7"/>
      <c r="W45" s="7"/>
      <c r="X45" s="7"/>
      <c r="Y45" s="7"/>
      <c r="Z45" s="7"/>
      <c r="AA45" s="7"/>
      <c r="AB45" s="7"/>
      <c r="AC45" s="4"/>
    </row>
    <row r="46" spans="1:29" outlineLevel="1">
      <c r="A46" s="4"/>
      <c r="B46" s="4"/>
      <c r="C46" s="7"/>
      <c r="D46" s="16" t="s">
        <v>473</v>
      </c>
      <c r="E46" s="16" t="s">
        <v>267</v>
      </c>
      <c r="F46" s="16" t="s">
        <v>945</v>
      </c>
      <c r="G46" s="16" t="s">
        <v>1588</v>
      </c>
      <c r="H46" s="16" t="s">
        <v>1589</v>
      </c>
      <c r="I46" s="7"/>
      <c r="J46" s="7"/>
      <c r="K46" s="7"/>
      <c r="L46" s="7"/>
      <c r="M46" s="7"/>
      <c r="N46" s="7"/>
      <c r="O46" s="7"/>
      <c r="P46" s="7"/>
      <c r="Q46" s="7"/>
      <c r="R46" s="7"/>
      <c r="S46" s="7"/>
      <c r="T46" s="7"/>
      <c r="U46" s="7"/>
      <c r="V46" s="7"/>
      <c r="W46" s="7"/>
      <c r="X46" s="7"/>
      <c r="Y46" s="7"/>
      <c r="Z46" s="7"/>
      <c r="AA46" s="7"/>
      <c r="AB46" s="7"/>
      <c r="AC46" s="4"/>
    </row>
    <row r="47" spans="1:29" ht="101.45" outlineLevel="1">
      <c r="A47" s="4"/>
      <c r="B47" s="4"/>
      <c r="C47" s="7"/>
      <c r="D47" s="18" t="s">
        <v>1357</v>
      </c>
      <c r="E47" s="18" t="s">
        <v>331</v>
      </c>
      <c r="F47" s="18" t="s">
        <v>1590</v>
      </c>
      <c r="G47" s="16" t="s">
        <v>318</v>
      </c>
      <c r="H47" s="18" t="s">
        <v>1608</v>
      </c>
      <c r="I47" s="7"/>
      <c r="J47" s="7"/>
      <c r="K47" s="7"/>
      <c r="L47" s="7"/>
      <c r="M47" s="7"/>
      <c r="N47" s="7"/>
      <c r="O47" s="7"/>
      <c r="P47" s="7"/>
      <c r="Q47" s="7"/>
      <c r="R47" s="7"/>
      <c r="S47" s="7"/>
      <c r="T47" s="7"/>
      <c r="U47" s="7"/>
      <c r="V47" s="7"/>
      <c r="W47" s="7"/>
      <c r="X47" s="7"/>
      <c r="Y47" s="7"/>
      <c r="Z47" s="7"/>
      <c r="AA47" s="7"/>
      <c r="AB47" s="7"/>
      <c r="AC47" s="4"/>
    </row>
    <row r="48" spans="1:29" ht="72.599999999999994" outlineLevel="1">
      <c r="A48" s="4"/>
      <c r="B48" s="4"/>
      <c r="C48" s="7"/>
      <c r="D48" s="18" t="s">
        <v>834</v>
      </c>
      <c r="E48" s="18" t="s">
        <v>319</v>
      </c>
      <c r="F48" s="18" t="s">
        <v>1592</v>
      </c>
      <c r="G48" s="16" t="s">
        <v>317</v>
      </c>
      <c r="H48" s="18" t="s">
        <v>267</v>
      </c>
      <c r="I48" s="7"/>
      <c r="J48" s="7"/>
      <c r="K48" s="7"/>
      <c r="L48" s="7"/>
      <c r="M48" s="7"/>
      <c r="N48" s="7"/>
      <c r="O48" s="7"/>
      <c r="P48" s="7"/>
      <c r="Q48" s="7"/>
      <c r="R48" s="7"/>
      <c r="S48" s="7"/>
      <c r="T48" s="7"/>
      <c r="U48" s="7"/>
      <c r="V48" s="7"/>
      <c r="W48" s="7"/>
      <c r="X48" s="7"/>
      <c r="Y48" s="7"/>
      <c r="Z48" s="7"/>
      <c r="AA48" s="7"/>
      <c r="AB48" s="7"/>
      <c r="AC48" s="4"/>
    </row>
    <row r="49" spans="1:29" ht="72.599999999999994" outlineLevel="1">
      <c r="A49" s="4"/>
      <c r="B49" s="4"/>
      <c r="C49" s="7"/>
      <c r="D49" s="18" t="s">
        <v>1359</v>
      </c>
      <c r="E49" s="18" t="s">
        <v>319</v>
      </c>
      <c r="F49" s="18" t="s">
        <v>1592</v>
      </c>
      <c r="G49" s="16" t="s">
        <v>318</v>
      </c>
      <c r="H49" s="18" t="s">
        <v>1609</v>
      </c>
      <c r="I49" s="7"/>
      <c r="J49" s="7"/>
      <c r="K49" s="7"/>
      <c r="L49" s="7"/>
      <c r="M49" s="7"/>
      <c r="N49" s="7"/>
      <c r="O49" s="7"/>
      <c r="P49" s="7"/>
      <c r="Q49" s="7"/>
      <c r="R49" s="7"/>
      <c r="S49" s="7"/>
      <c r="T49" s="7"/>
      <c r="U49" s="7"/>
      <c r="V49" s="7"/>
      <c r="W49" s="7"/>
      <c r="X49" s="7"/>
      <c r="Y49" s="7"/>
      <c r="Z49" s="7"/>
      <c r="AA49" s="7"/>
      <c r="AB49" s="7"/>
      <c r="AC49" s="4"/>
    </row>
    <row r="50" spans="1:29" ht="130.5" outlineLevel="1">
      <c r="A50" s="4"/>
      <c r="B50" s="4"/>
      <c r="C50" s="7"/>
      <c r="D50" s="18" t="s">
        <v>1178</v>
      </c>
      <c r="E50" s="18" t="s">
        <v>335</v>
      </c>
      <c r="F50" s="18" t="s">
        <v>1594</v>
      </c>
      <c r="G50" s="16" t="s">
        <v>318</v>
      </c>
      <c r="H50" s="18" t="s">
        <v>1610</v>
      </c>
      <c r="I50" s="7"/>
      <c r="J50" s="7"/>
      <c r="K50" s="7"/>
      <c r="L50" s="7"/>
      <c r="M50" s="7"/>
      <c r="N50" s="7"/>
      <c r="O50" s="7"/>
      <c r="P50" s="7"/>
      <c r="Q50" s="7"/>
      <c r="R50" s="7"/>
      <c r="S50" s="7"/>
      <c r="T50" s="7"/>
      <c r="U50" s="7"/>
      <c r="V50" s="7"/>
      <c r="W50" s="7"/>
      <c r="X50" s="7"/>
      <c r="Y50" s="7"/>
      <c r="Z50" s="7"/>
      <c r="AA50" s="7"/>
      <c r="AB50" s="7"/>
      <c r="AC50" s="4"/>
    </row>
    <row r="51" spans="1:29" ht="130.5" outlineLevel="1">
      <c r="A51" s="4"/>
      <c r="B51" s="4"/>
      <c r="C51" s="7"/>
      <c r="D51" s="18" t="s">
        <v>1355</v>
      </c>
      <c r="E51" s="18" t="s">
        <v>335</v>
      </c>
      <c r="F51" s="18" t="s">
        <v>1594</v>
      </c>
      <c r="G51" s="16" t="s">
        <v>318</v>
      </c>
      <c r="H51" s="18" t="s">
        <v>1610</v>
      </c>
      <c r="I51" s="7"/>
      <c r="J51" s="7"/>
      <c r="K51" s="7"/>
      <c r="L51" s="7"/>
      <c r="M51" s="7"/>
      <c r="N51" s="7"/>
      <c r="O51" s="7"/>
      <c r="P51" s="7"/>
      <c r="Q51" s="7"/>
      <c r="R51" s="7"/>
      <c r="S51" s="7"/>
      <c r="T51" s="7"/>
      <c r="U51" s="7"/>
      <c r="V51" s="7"/>
      <c r="W51" s="7"/>
      <c r="X51" s="7"/>
      <c r="Y51" s="7"/>
      <c r="Z51" s="7"/>
      <c r="AA51" s="7"/>
      <c r="AB51" s="7"/>
      <c r="AC51" s="4"/>
    </row>
    <row r="52" spans="1:29" ht="101.45" outlineLevel="1">
      <c r="A52" s="4"/>
      <c r="B52" s="4"/>
      <c r="C52" s="7"/>
      <c r="D52" s="18" t="s">
        <v>1356</v>
      </c>
      <c r="E52" s="18" t="s">
        <v>335</v>
      </c>
      <c r="F52" s="18" t="s">
        <v>1590</v>
      </c>
      <c r="G52" s="16" t="s">
        <v>318</v>
      </c>
      <c r="H52" s="18" t="s">
        <v>1610</v>
      </c>
      <c r="I52" s="7"/>
      <c r="J52" s="7"/>
      <c r="K52" s="7"/>
      <c r="L52" s="7"/>
      <c r="M52" s="7"/>
      <c r="N52" s="7"/>
      <c r="O52" s="7"/>
      <c r="P52" s="7"/>
      <c r="Q52" s="7"/>
      <c r="R52" s="7"/>
      <c r="S52" s="7"/>
      <c r="T52" s="7"/>
      <c r="U52" s="7"/>
      <c r="V52" s="7"/>
      <c r="W52" s="7"/>
      <c r="X52" s="7"/>
      <c r="Y52" s="7"/>
      <c r="Z52" s="7"/>
      <c r="AA52" s="7"/>
      <c r="AB52" s="7"/>
      <c r="AC52" s="4"/>
    </row>
    <row r="53" spans="1:29" ht="116.1" outlineLevel="1">
      <c r="A53" s="4"/>
      <c r="B53" s="4"/>
      <c r="C53" s="7"/>
      <c r="D53" s="18" t="s">
        <v>1358</v>
      </c>
      <c r="E53" s="18" t="s">
        <v>339</v>
      </c>
      <c r="F53" s="18" t="s">
        <v>1596</v>
      </c>
      <c r="G53" s="16" t="s">
        <v>318</v>
      </c>
      <c r="H53" s="18" t="s">
        <v>1610</v>
      </c>
      <c r="I53" s="7"/>
      <c r="J53" s="7"/>
      <c r="K53" s="7"/>
      <c r="L53" s="7"/>
      <c r="M53" s="7"/>
      <c r="N53" s="7"/>
      <c r="O53" s="7"/>
      <c r="P53" s="7"/>
      <c r="Q53" s="7"/>
      <c r="R53" s="7"/>
      <c r="S53" s="7"/>
      <c r="T53" s="7"/>
      <c r="U53" s="7"/>
      <c r="V53" s="7"/>
      <c r="W53" s="7"/>
      <c r="X53" s="7"/>
      <c r="Y53" s="7"/>
      <c r="Z53" s="7"/>
      <c r="AA53" s="7"/>
      <c r="AB53" s="7"/>
      <c r="AC53" s="4"/>
    </row>
    <row r="54" spans="1:29" outlineLevel="1">
      <c r="A54" s="4"/>
      <c r="B54" s="4"/>
      <c r="C54" s="7"/>
      <c r="D54" s="7"/>
      <c r="E54" s="7"/>
      <c r="F54" s="7"/>
      <c r="G54" s="7"/>
      <c r="H54" s="7"/>
      <c r="I54" s="7"/>
      <c r="J54" s="7"/>
      <c r="K54" s="7"/>
      <c r="L54" s="7"/>
      <c r="M54" s="7"/>
      <c r="N54" s="7"/>
      <c r="O54" s="7"/>
      <c r="P54" s="7"/>
      <c r="Q54" s="7"/>
      <c r="R54" s="7"/>
      <c r="S54" s="7"/>
      <c r="T54" s="7"/>
      <c r="U54" s="7"/>
      <c r="V54" s="7"/>
      <c r="W54" s="7"/>
      <c r="X54" s="7"/>
      <c r="Y54" s="7"/>
      <c r="Z54" s="7"/>
      <c r="AA54" s="7"/>
      <c r="AB54" s="7"/>
      <c r="AC54" s="4"/>
    </row>
    <row r="55" spans="1:29">
      <c r="A55" s="4"/>
      <c r="B55" s="4"/>
      <c r="C55" s="4"/>
      <c r="D55" s="4"/>
      <c r="E55" s="4"/>
      <c r="F55" s="4"/>
      <c r="G55" s="4"/>
      <c r="H55" s="4"/>
      <c r="I55" s="4"/>
      <c r="J55" s="4"/>
      <c r="K55" s="4"/>
      <c r="L55" s="4"/>
      <c r="M55" s="4"/>
      <c r="N55" s="4"/>
      <c r="O55" s="4"/>
      <c r="P55" s="4"/>
      <c r="Q55" s="4"/>
      <c r="R55" s="4"/>
      <c r="S55" s="4"/>
      <c r="T55" s="4"/>
      <c r="U55" s="4"/>
      <c r="V55" s="4"/>
      <c r="W55" s="4"/>
      <c r="X55" s="4"/>
      <c r="Y55" s="4"/>
      <c r="Z55" s="4"/>
      <c r="AA55" s="4"/>
      <c r="AB55" s="4"/>
      <c r="AC55" s="4"/>
    </row>
    <row r="56" spans="1:29" ht="18.600000000000001">
      <c r="A56" s="102"/>
      <c r="B56" s="102"/>
      <c r="C56" s="102" t="s">
        <v>1611</v>
      </c>
      <c r="D56" s="102"/>
      <c r="E56" s="102"/>
      <c r="F56" s="4"/>
      <c r="G56" s="102"/>
      <c r="H56" s="102"/>
      <c r="I56" s="102"/>
      <c r="J56" s="102"/>
      <c r="K56" s="102"/>
      <c r="L56" s="102"/>
      <c r="M56" s="102"/>
      <c r="N56" s="102"/>
      <c r="O56" s="102"/>
      <c r="P56" s="102"/>
      <c r="Q56" s="102"/>
      <c r="R56" s="102"/>
      <c r="S56" s="102"/>
      <c r="T56" s="102"/>
      <c r="U56" s="102"/>
      <c r="V56" s="102"/>
      <c r="W56" s="102"/>
      <c r="X56" s="102"/>
      <c r="Y56" s="102"/>
      <c r="Z56" s="102"/>
      <c r="AA56" s="102"/>
      <c r="AB56" s="102"/>
      <c r="AC56" s="102"/>
    </row>
    <row r="57" spans="1:29" outlineLevel="1">
      <c r="A57" s="4"/>
      <c r="B57" s="4"/>
      <c r="C57" s="4"/>
      <c r="D57" s="4"/>
      <c r="E57" s="4"/>
      <c r="F57" s="4"/>
      <c r="G57" s="4"/>
      <c r="H57" s="4"/>
      <c r="I57" s="4"/>
      <c r="J57" s="4"/>
      <c r="K57" s="4"/>
      <c r="L57" s="4"/>
      <c r="M57" s="4"/>
      <c r="N57" s="4"/>
      <c r="O57" s="4"/>
      <c r="P57" s="4"/>
      <c r="Q57" s="4"/>
      <c r="R57" s="4"/>
      <c r="S57" s="4"/>
      <c r="T57" s="4"/>
      <c r="U57" s="4"/>
      <c r="V57" s="4"/>
      <c r="W57" s="4"/>
      <c r="X57" s="4"/>
      <c r="Y57" s="4"/>
      <c r="Z57" s="4"/>
      <c r="AA57" s="4"/>
      <c r="AB57" s="4"/>
      <c r="AC57" s="4"/>
    </row>
    <row r="58" spans="1:29" outlineLevel="1">
      <c r="A58" s="4"/>
      <c r="B58" s="4"/>
      <c r="C58" s="7"/>
      <c r="D58" s="7"/>
      <c r="E58" s="7"/>
      <c r="F58" s="7"/>
      <c r="G58" s="7"/>
      <c r="H58" s="7"/>
      <c r="I58" s="7"/>
      <c r="J58" s="7"/>
      <c r="K58" s="7"/>
      <c r="L58" s="7"/>
      <c r="M58" s="7"/>
      <c r="N58" s="7"/>
      <c r="O58" s="7"/>
      <c r="P58" s="7"/>
      <c r="Q58" s="7"/>
      <c r="R58" s="7"/>
      <c r="S58" s="7"/>
      <c r="T58" s="7"/>
      <c r="U58" s="7"/>
      <c r="V58" s="7"/>
      <c r="W58" s="7"/>
      <c r="X58" s="7"/>
      <c r="Y58" s="7"/>
      <c r="Z58" s="7"/>
      <c r="AA58" s="7"/>
      <c r="AB58" s="7"/>
      <c r="AC58" s="4"/>
    </row>
    <row r="59" spans="1:29" outlineLevel="1">
      <c r="A59" s="4"/>
      <c r="B59" s="4"/>
      <c r="C59" s="7"/>
      <c r="D59" s="7"/>
      <c r="E59" s="7"/>
      <c r="F59" s="7"/>
      <c r="G59" s="7"/>
      <c r="H59" s="7"/>
      <c r="I59" s="7"/>
      <c r="J59" s="7"/>
      <c r="K59" s="7"/>
      <c r="L59" s="7"/>
      <c r="M59" s="7"/>
      <c r="N59" s="7"/>
      <c r="O59" s="7"/>
      <c r="P59" s="7"/>
      <c r="Q59" s="7"/>
      <c r="R59" s="7"/>
      <c r="S59" s="7"/>
      <c r="T59" s="7"/>
      <c r="U59" s="7"/>
      <c r="V59" s="7"/>
      <c r="W59" s="7"/>
      <c r="X59" s="7"/>
      <c r="Y59" s="7"/>
      <c r="Z59" s="7"/>
      <c r="AA59" s="7"/>
      <c r="AB59" s="7"/>
      <c r="AC59" s="4"/>
    </row>
    <row r="60" spans="1:29" outlineLevel="1">
      <c r="A60" s="4"/>
      <c r="B60" s="4"/>
      <c r="C60" s="7"/>
      <c r="D60" s="7"/>
      <c r="E60" s="7"/>
      <c r="F60" s="7"/>
      <c r="G60" s="7"/>
      <c r="H60" s="7"/>
      <c r="I60" s="7"/>
      <c r="J60" s="7"/>
      <c r="K60" s="7"/>
      <c r="L60" s="7"/>
      <c r="M60" s="7"/>
      <c r="N60" s="7"/>
      <c r="O60" s="7"/>
      <c r="P60" s="7"/>
      <c r="Q60" s="7"/>
      <c r="R60" s="7"/>
      <c r="S60" s="7"/>
      <c r="T60" s="7"/>
      <c r="U60" s="7"/>
      <c r="V60" s="7"/>
      <c r="W60" s="7"/>
      <c r="X60" s="7"/>
      <c r="Y60" s="7"/>
      <c r="Z60" s="7"/>
      <c r="AA60" s="7"/>
      <c r="AB60" s="7"/>
      <c r="AC60" s="4"/>
    </row>
    <row r="61" spans="1:29" outlineLevel="1">
      <c r="A61" s="4"/>
      <c r="B61" s="4"/>
      <c r="C61" s="7"/>
      <c r="D61" s="7"/>
      <c r="E61" s="7"/>
      <c r="F61" s="7"/>
      <c r="G61" s="7"/>
      <c r="H61" s="7"/>
      <c r="I61" s="7"/>
      <c r="J61" s="7"/>
      <c r="K61" s="7"/>
      <c r="L61" s="7"/>
      <c r="M61" s="7"/>
      <c r="N61" s="7"/>
      <c r="O61" s="7"/>
      <c r="P61" s="7"/>
      <c r="Q61" s="7"/>
      <c r="R61" s="7"/>
      <c r="S61" s="7"/>
      <c r="T61" s="7"/>
      <c r="U61" s="7"/>
      <c r="V61" s="7"/>
      <c r="W61" s="7"/>
      <c r="X61" s="7"/>
      <c r="Y61" s="7"/>
      <c r="Z61" s="7"/>
      <c r="AA61" s="7"/>
      <c r="AB61" s="7"/>
      <c r="AC61" s="4"/>
    </row>
    <row r="62" spans="1:29" outlineLevel="1">
      <c r="A62" s="4"/>
      <c r="B62" s="4"/>
      <c r="C62" s="7"/>
      <c r="D62" s="7"/>
      <c r="E62" s="7"/>
      <c r="F62" s="7"/>
      <c r="G62" s="7"/>
      <c r="H62" s="7"/>
      <c r="I62" s="7"/>
      <c r="J62" s="7"/>
      <c r="K62" s="7"/>
      <c r="L62" s="7"/>
      <c r="M62" s="7"/>
      <c r="N62" s="7"/>
      <c r="O62" s="7"/>
      <c r="P62" s="7"/>
      <c r="Q62" s="7"/>
      <c r="R62" s="7"/>
      <c r="S62" s="7"/>
      <c r="T62" s="7"/>
      <c r="U62" s="7"/>
      <c r="V62" s="7"/>
      <c r="W62" s="7"/>
      <c r="X62" s="7"/>
      <c r="Y62" s="7"/>
      <c r="Z62" s="7"/>
      <c r="AA62" s="7"/>
      <c r="AB62" s="7"/>
      <c r="AC62" s="4"/>
    </row>
    <row r="63" spans="1:29" outlineLevel="1">
      <c r="A63" s="4"/>
      <c r="B63" s="4"/>
      <c r="C63" s="7"/>
      <c r="D63" s="7"/>
      <c r="E63" s="7"/>
      <c r="F63" s="7"/>
      <c r="G63" s="7"/>
      <c r="H63" s="7"/>
      <c r="I63" s="7"/>
      <c r="J63" s="7"/>
      <c r="K63" s="7"/>
      <c r="L63" s="7"/>
      <c r="M63" s="7"/>
      <c r="N63" s="7"/>
      <c r="O63" s="7"/>
      <c r="P63" s="7"/>
      <c r="Q63" s="7"/>
      <c r="R63" s="7"/>
      <c r="S63" s="7"/>
      <c r="T63" s="7"/>
      <c r="U63" s="7"/>
      <c r="V63" s="7"/>
      <c r="W63" s="7"/>
      <c r="X63" s="7"/>
      <c r="Y63" s="7"/>
      <c r="Z63" s="7"/>
      <c r="AA63" s="7"/>
      <c r="AB63" s="7"/>
      <c r="AC63" s="4"/>
    </row>
    <row r="64" spans="1:29" outlineLevel="1">
      <c r="A64" s="4"/>
      <c r="B64" s="4"/>
      <c r="C64" s="7"/>
      <c r="D64" s="7"/>
      <c r="E64" s="7"/>
      <c r="F64" s="7"/>
      <c r="G64" s="7"/>
      <c r="H64" s="7"/>
      <c r="I64" s="7"/>
      <c r="J64" s="7"/>
      <c r="K64" s="7"/>
      <c r="L64" s="7"/>
      <c r="M64" s="7"/>
      <c r="N64" s="7"/>
      <c r="O64" s="7"/>
      <c r="P64" s="7"/>
      <c r="Q64" s="7"/>
      <c r="R64" s="7"/>
      <c r="S64" s="7"/>
      <c r="T64" s="7"/>
      <c r="U64" s="7"/>
      <c r="V64" s="7"/>
      <c r="W64" s="7"/>
      <c r="X64" s="7"/>
      <c r="Y64" s="7"/>
      <c r="Z64" s="7"/>
      <c r="AA64" s="7"/>
      <c r="AB64" s="7"/>
      <c r="AC64" s="4"/>
    </row>
    <row r="65" spans="1:29" outlineLevel="1">
      <c r="A65" s="4"/>
      <c r="B65" s="4"/>
      <c r="C65" s="7"/>
      <c r="D65" s="7"/>
      <c r="E65" s="7"/>
      <c r="F65" s="7"/>
      <c r="G65" s="7"/>
      <c r="H65" s="7"/>
      <c r="I65" s="7"/>
      <c r="J65" s="7"/>
      <c r="K65" s="7"/>
      <c r="L65" s="7"/>
      <c r="M65" s="7"/>
      <c r="N65" s="7"/>
      <c r="O65" s="7"/>
      <c r="P65" s="7"/>
      <c r="Q65" s="7"/>
      <c r="R65" s="7"/>
      <c r="S65" s="7"/>
      <c r="T65" s="7"/>
      <c r="U65" s="7"/>
      <c r="V65" s="7"/>
      <c r="W65" s="7"/>
      <c r="X65" s="7"/>
      <c r="Y65" s="7"/>
      <c r="Z65" s="7"/>
      <c r="AA65" s="7"/>
      <c r="AB65" s="7"/>
      <c r="AC65" s="4"/>
    </row>
    <row r="66" spans="1:29" outlineLevel="1">
      <c r="A66" s="4"/>
      <c r="B66" s="4"/>
      <c r="C66" s="7"/>
      <c r="D66" s="7"/>
      <c r="E66" s="7"/>
      <c r="F66" s="7"/>
      <c r="G66" s="7"/>
      <c r="H66" s="7"/>
      <c r="I66" s="7"/>
      <c r="J66" s="7"/>
      <c r="K66" s="7"/>
      <c r="L66" s="7"/>
      <c r="M66" s="7"/>
      <c r="N66" s="7"/>
      <c r="O66" s="7"/>
      <c r="P66" s="7"/>
      <c r="Q66" s="7"/>
      <c r="R66" s="7"/>
      <c r="S66" s="7"/>
      <c r="T66" s="7"/>
      <c r="U66" s="7"/>
      <c r="V66" s="7"/>
      <c r="W66" s="7"/>
      <c r="X66" s="7"/>
      <c r="Y66" s="7"/>
      <c r="Z66" s="7"/>
      <c r="AA66" s="7"/>
      <c r="AB66" s="7"/>
      <c r="AC66" s="4"/>
    </row>
    <row r="67" spans="1:29" outlineLevel="1">
      <c r="A67" s="4"/>
      <c r="B67" s="4"/>
      <c r="C67" s="7"/>
      <c r="D67" s="7"/>
      <c r="E67" s="7"/>
      <c r="F67" s="7"/>
      <c r="G67" s="7"/>
      <c r="H67" s="7"/>
      <c r="I67" s="7"/>
      <c r="J67" s="7"/>
      <c r="K67" s="7"/>
      <c r="L67" s="7"/>
      <c r="M67" s="7"/>
      <c r="N67" s="7"/>
      <c r="O67" s="7"/>
      <c r="P67" s="7"/>
      <c r="Q67" s="7"/>
      <c r="R67" s="7"/>
      <c r="S67" s="7"/>
      <c r="T67" s="7"/>
      <c r="U67" s="7"/>
      <c r="V67" s="7"/>
      <c r="W67" s="7"/>
      <c r="X67" s="7"/>
      <c r="Y67" s="7"/>
      <c r="Z67" s="7"/>
      <c r="AA67" s="7"/>
      <c r="AB67" s="7"/>
      <c r="AC67" s="4"/>
    </row>
    <row r="68" spans="1:29" outlineLevel="1">
      <c r="A68" s="4"/>
      <c r="B68" s="4"/>
      <c r="C68" s="7"/>
      <c r="D68" s="7"/>
      <c r="E68" s="7"/>
      <c r="F68" s="7"/>
      <c r="G68" s="7"/>
      <c r="H68" s="7"/>
      <c r="I68" s="7"/>
      <c r="J68" s="7"/>
      <c r="K68" s="7"/>
      <c r="L68" s="7"/>
      <c r="M68" s="7"/>
      <c r="N68" s="7"/>
      <c r="O68" s="7"/>
      <c r="P68" s="7"/>
      <c r="Q68" s="7"/>
      <c r="R68" s="7"/>
      <c r="S68" s="7"/>
      <c r="T68" s="7"/>
      <c r="U68" s="7"/>
      <c r="V68" s="7"/>
      <c r="W68" s="7"/>
      <c r="X68" s="7"/>
      <c r="Y68" s="7"/>
      <c r="Z68" s="7"/>
      <c r="AA68" s="7"/>
      <c r="AB68" s="7"/>
      <c r="AC68" s="4"/>
    </row>
    <row r="69" spans="1:29" outlineLevel="1">
      <c r="A69" s="4"/>
      <c r="B69" s="4"/>
      <c r="C69" s="7"/>
      <c r="D69" s="7"/>
      <c r="E69" s="7"/>
      <c r="F69" s="7"/>
      <c r="G69" s="7"/>
      <c r="H69" s="7"/>
      <c r="I69" s="7"/>
      <c r="J69" s="7"/>
      <c r="K69" s="7"/>
      <c r="L69" s="7"/>
      <c r="M69" s="7"/>
      <c r="N69" s="7"/>
      <c r="O69" s="7"/>
      <c r="P69" s="7"/>
      <c r="Q69" s="7"/>
      <c r="R69" s="7"/>
      <c r="S69" s="7"/>
      <c r="T69" s="7"/>
      <c r="U69" s="7"/>
      <c r="V69" s="7"/>
      <c r="W69" s="7"/>
      <c r="X69" s="7"/>
      <c r="Y69" s="7"/>
      <c r="Z69" s="7"/>
      <c r="AA69" s="7"/>
      <c r="AB69" s="7"/>
      <c r="AC69" s="4"/>
    </row>
    <row r="70" spans="1:29" outlineLevel="1">
      <c r="A70" s="4"/>
      <c r="B70" s="4"/>
      <c r="C70" s="7"/>
      <c r="D70" s="7"/>
      <c r="E70" s="7"/>
      <c r="F70" s="7"/>
      <c r="G70" s="7"/>
      <c r="H70" s="7"/>
      <c r="I70" s="7"/>
      <c r="J70" s="7"/>
      <c r="K70" s="7"/>
      <c r="L70" s="7"/>
      <c r="M70" s="7"/>
      <c r="N70" s="7"/>
      <c r="O70" s="7"/>
      <c r="P70" s="7"/>
      <c r="Q70" s="7"/>
      <c r="R70" s="7"/>
      <c r="S70" s="7"/>
      <c r="T70" s="7"/>
      <c r="U70" s="7"/>
      <c r="V70" s="7"/>
      <c r="W70" s="7"/>
      <c r="X70" s="7"/>
      <c r="Y70" s="7"/>
      <c r="Z70" s="7"/>
      <c r="AA70" s="7"/>
      <c r="AB70" s="7"/>
      <c r="AC70" s="4"/>
    </row>
    <row r="71" spans="1:29" outlineLevel="1">
      <c r="A71" s="4"/>
      <c r="B71" s="4"/>
      <c r="C71" s="7"/>
      <c r="D71" s="7"/>
      <c r="E71" s="7"/>
      <c r="F71" s="7"/>
      <c r="G71" s="7"/>
      <c r="H71" s="7"/>
      <c r="I71" s="7"/>
      <c r="J71" s="7"/>
      <c r="K71" s="7"/>
      <c r="L71" s="7"/>
      <c r="M71" s="7"/>
      <c r="N71" s="7"/>
      <c r="O71" s="7"/>
      <c r="P71" s="7"/>
      <c r="Q71" s="7"/>
      <c r="R71" s="7"/>
      <c r="S71" s="7"/>
      <c r="T71" s="7"/>
      <c r="U71" s="7"/>
      <c r="V71" s="7"/>
      <c r="W71" s="7"/>
      <c r="X71" s="7"/>
      <c r="Y71" s="7"/>
      <c r="Z71" s="7"/>
      <c r="AA71" s="7"/>
      <c r="AB71" s="7"/>
      <c r="AC71" s="4"/>
    </row>
    <row r="72" spans="1:29" outlineLevel="1">
      <c r="A72" s="4"/>
      <c r="B72" s="4"/>
      <c r="C72" s="7"/>
      <c r="D72" s="7"/>
      <c r="E72" s="7"/>
      <c r="F72" s="7"/>
      <c r="G72" s="7"/>
      <c r="H72" s="7"/>
      <c r="I72" s="7"/>
      <c r="J72" s="7"/>
      <c r="K72" s="7"/>
      <c r="L72" s="7"/>
      <c r="M72" s="7"/>
      <c r="N72" s="7"/>
      <c r="O72" s="7"/>
      <c r="P72" s="7"/>
      <c r="Q72" s="7"/>
      <c r="R72" s="7"/>
      <c r="S72" s="7"/>
      <c r="T72" s="7"/>
      <c r="U72" s="7"/>
      <c r="V72" s="7"/>
      <c r="W72" s="7"/>
      <c r="X72" s="7"/>
      <c r="Y72" s="7"/>
      <c r="Z72" s="7"/>
      <c r="AA72" s="7"/>
      <c r="AB72" s="7"/>
      <c r="AC72" s="4"/>
    </row>
    <row r="73" spans="1:29" outlineLevel="1">
      <c r="A73" s="4"/>
      <c r="B73" s="4"/>
      <c r="C73" s="7"/>
      <c r="D73" s="7"/>
      <c r="E73" s="7"/>
      <c r="F73" s="7"/>
      <c r="G73" s="7"/>
      <c r="H73" s="7"/>
      <c r="I73" s="7"/>
      <c r="J73" s="7"/>
      <c r="K73" s="7"/>
      <c r="L73" s="7"/>
      <c r="M73" s="7"/>
      <c r="N73" s="7"/>
      <c r="O73" s="7"/>
      <c r="P73" s="7"/>
      <c r="Q73" s="7"/>
      <c r="R73" s="7"/>
      <c r="S73" s="7"/>
      <c r="T73" s="7"/>
      <c r="U73" s="7"/>
      <c r="V73" s="7"/>
      <c r="W73" s="7"/>
      <c r="X73" s="7"/>
      <c r="Y73" s="7"/>
      <c r="Z73" s="7"/>
      <c r="AA73" s="7"/>
      <c r="AB73" s="7"/>
      <c r="AC73" s="4"/>
    </row>
    <row r="74" spans="1:29" outlineLevel="1">
      <c r="A74" s="4"/>
      <c r="B74" s="4"/>
      <c r="C74" s="7"/>
      <c r="D74" s="7"/>
      <c r="E74" s="7"/>
      <c r="F74" s="7"/>
      <c r="G74" s="7"/>
      <c r="H74" s="7"/>
      <c r="I74" s="7"/>
      <c r="J74" s="7"/>
      <c r="K74" s="7"/>
      <c r="L74" s="7"/>
      <c r="M74" s="7"/>
      <c r="N74" s="7"/>
      <c r="O74" s="7"/>
      <c r="P74" s="7"/>
      <c r="Q74" s="7"/>
      <c r="R74" s="7"/>
      <c r="S74" s="7"/>
      <c r="T74" s="7"/>
      <c r="U74" s="7"/>
      <c r="V74" s="7"/>
      <c r="W74" s="7"/>
      <c r="X74" s="7"/>
      <c r="Y74" s="7"/>
      <c r="Z74" s="7"/>
      <c r="AA74" s="7"/>
      <c r="AB74" s="7"/>
      <c r="AC74" s="4"/>
    </row>
    <row r="75" spans="1:29" outlineLevel="1">
      <c r="A75" s="4"/>
      <c r="B75" s="4"/>
      <c r="C75" s="7"/>
      <c r="D75" s="7"/>
      <c r="E75" s="7"/>
      <c r="F75" s="7"/>
      <c r="G75" s="7"/>
      <c r="H75" s="7"/>
      <c r="I75" s="7"/>
      <c r="J75" s="7"/>
      <c r="K75" s="7"/>
      <c r="L75" s="7"/>
      <c r="M75" s="7"/>
      <c r="N75" s="7"/>
      <c r="O75" s="7"/>
      <c r="P75" s="7"/>
      <c r="Q75" s="7"/>
      <c r="R75" s="7"/>
      <c r="S75" s="7"/>
      <c r="T75" s="7"/>
      <c r="U75" s="7"/>
      <c r="V75" s="7"/>
      <c r="W75" s="7"/>
      <c r="X75" s="7"/>
      <c r="Y75" s="7"/>
      <c r="Z75" s="7"/>
      <c r="AA75" s="7"/>
      <c r="AB75" s="7"/>
      <c r="AC75" s="4"/>
    </row>
    <row r="76" spans="1:29" outlineLevel="1">
      <c r="A76" s="4"/>
      <c r="B76" s="4"/>
      <c r="C76" s="7"/>
      <c r="D76" s="7"/>
      <c r="E76" s="7"/>
      <c r="F76" s="7"/>
      <c r="G76" s="7"/>
      <c r="H76" s="7"/>
      <c r="I76" s="7"/>
      <c r="J76" s="7"/>
      <c r="K76" s="7"/>
      <c r="L76" s="7"/>
      <c r="M76" s="7"/>
      <c r="N76" s="7"/>
      <c r="O76" s="7"/>
      <c r="P76" s="7"/>
      <c r="Q76" s="7"/>
      <c r="R76" s="7"/>
      <c r="S76" s="7"/>
      <c r="T76" s="7"/>
      <c r="U76" s="7"/>
      <c r="V76" s="7"/>
      <c r="W76" s="7"/>
      <c r="X76" s="7"/>
      <c r="Y76" s="7"/>
      <c r="Z76" s="7"/>
      <c r="AA76" s="7"/>
      <c r="AB76" s="7"/>
      <c r="AC76" s="4"/>
    </row>
    <row r="77" spans="1:29" outlineLevel="1">
      <c r="A77" s="4"/>
      <c r="B77" s="4"/>
      <c r="C77" s="7"/>
      <c r="D77" s="7"/>
      <c r="E77" s="7"/>
      <c r="F77" s="7"/>
      <c r="G77" s="7"/>
      <c r="H77" s="7"/>
      <c r="I77" s="7"/>
      <c r="J77" s="7"/>
      <c r="K77" s="7"/>
      <c r="L77" s="7"/>
      <c r="M77" s="7"/>
      <c r="N77" s="7"/>
      <c r="O77" s="7"/>
      <c r="P77" s="7"/>
      <c r="Q77" s="7"/>
      <c r="R77" s="7"/>
      <c r="S77" s="7"/>
      <c r="T77" s="7"/>
      <c r="U77" s="7"/>
      <c r="V77" s="7"/>
      <c r="W77" s="7"/>
      <c r="X77" s="7"/>
      <c r="Y77" s="7"/>
      <c r="Z77" s="7"/>
      <c r="AA77" s="7"/>
      <c r="AB77" s="7"/>
      <c r="AC77" s="4"/>
    </row>
    <row r="78" spans="1:29" s="4" customFormat="1" outlineLevel="1"/>
    <row r="79" spans="1:29" s="102" customFormat="1" ht="18.600000000000001" outlineLevel="1">
      <c r="C79" s="102" t="s">
        <v>1612</v>
      </c>
    </row>
    <row r="80" spans="1:29" s="68" customFormat="1" outlineLevel="1"/>
    <row r="81" spans="1:29" s="68" customFormat="1" outlineLevel="1">
      <c r="A81" s="4"/>
      <c r="B81" s="4"/>
      <c r="C81" s="80" t="s">
        <v>1613</v>
      </c>
      <c r="D81" s="64"/>
      <c r="E81" s="64"/>
      <c r="F81" s="64"/>
      <c r="G81" s="64"/>
      <c r="H81" s="64"/>
      <c r="I81" s="64"/>
      <c r="J81" s="64"/>
      <c r="K81" s="64"/>
      <c r="L81" s="64"/>
      <c r="M81" s="64"/>
      <c r="N81" s="64"/>
      <c r="O81" s="64"/>
      <c r="P81" s="64"/>
      <c r="Q81" s="64"/>
      <c r="R81" s="64"/>
      <c r="S81" s="64"/>
      <c r="T81" s="64"/>
      <c r="U81" s="64"/>
      <c r="V81" s="64"/>
      <c r="W81" s="64"/>
      <c r="X81" s="64"/>
      <c r="Y81" s="64"/>
      <c r="Z81" s="64"/>
      <c r="AA81" s="64"/>
      <c r="AB81" s="64"/>
    </row>
    <row r="82" spans="1:29">
      <c r="A82" s="4"/>
      <c r="B82" s="4"/>
      <c r="C82" s="4"/>
      <c r="D82" s="4"/>
      <c r="E82" s="4"/>
      <c r="F82" s="4"/>
      <c r="G82" s="4"/>
      <c r="H82" s="4"/>
      <c r="I82" s="4"/>
      <c r="J82" s="4"/>
      <c r="K82" s="4"/>
      <c r="L82" s="4"/>
      <c r="M82" s="4"/>
      <c r="N82" s="4"/>
      <c r="O82" s="4"/>
      <c r="P82" s="4"/>
      <c r="Q82" s="4"/>
      <c r="R82" s="4"/>
      <c r="S82" s="4"/>
      <c r="T82" s="4"/>
      <c r="U82" s="4"/>
      <c r="V82" s="4"/>
      <c r="W82" s="4"/>
      <c r="X82" s="4"/>
      <c r="Y82" s="4"/>
      <c r="Z82" s="4"/>
      <c r="AA82" s="4"/>
      <c r="AB82" s="4"/>
      <c r="AC82" s="4"/>
    </row>
    <row r="83" spans="1:29" ht="18.600000000000001">
      <c r="A83" s="4"/>
      <c r="B83" s="4"/>
      <c r="C83" s="102" t="s">
        <v>78</v>
      </c>
      <c r="D83" s="102"/>
      <c r="E83" s="102"/>
      <c r="F83" s="102"/>
      <c r="G83" s="102"/>
      <c r="H83" s="102"/>
      <c r="I83" s="102"/>
      <c r="J83" s="102"/>
      <c r="K83" s="102"/>
      <c r="L83" s="102"/>
      <c r="M83" s="102"/>
      <c r="N83" s="102"/>
      <c r="O83" s="102"/>
      <c r="P83" s="102"/>
      <c r="Q83" s="102"/>
      <c r="R83" s="102"/>
      <c r="S83" s="102"/>
      <c r="T83" s="102"/>
      <c r="U83" s="102"/>
      <c r="V83" s="102"/>
      <c r="W83" s="102"/>
      <c r="X83" s="102"/>
      <c r="Y83" s="102"/>
      <c r="Z83" s="102"/>
      <c r="AA83" s="102"/>
      <c r="AB83" s="102"/>
      <c r="AC83" s="4"/>
    </row>
    <row r="84" spans="1:29" outlineLevel="1">
      <c r="A84" s="4"/>
      <c r="B84" s="4"/>
      <c r="C84" s="4"/>
      <c r="D84" s="4"/>
      <c r="E84" s="4"/>
      <c r="F84" s="4"/>
      <c r="G84" s="4"/>
      <c r="H84" s="4"/>
      <c r="I84" s="4"/>
      <c r="J84" s="4"/>
      <c r="K84" s="4"/>
      <c r="L84" s="4"/>
      <c r="M84" s="4"/>
      <c r="N84" s="4"/>
      <c r="O84" s="4"/>
      <c r="P84" s="4"/>
      <c r="Q84" s="4"/>
      <c r="R84" s="4"/>
      <c r="S84" s="4"/>
      <c r="T84" s="4"/>
      <c r="U84" s="4"/>
      <c r="V84" s="4"/>
      <c r="W84" s="4"/>
      <c r="X84" s="4"/>
      <c r="Y84" s="4"/>
      <c r="Z84" s="4"/>
      <c r="AA84" s="4"/>
      <c r="AB84" s="4"/>
      <c r="AC84" s="4"/>
    </row>
    <row r="85" spans="1:29" ht="16.5" outlineLevel="1">
      <c r="A85" s="4"/>
      <c r="B85" s="4"/>
      <c r="C85" s="169">
        <v>1</v>
      </c>
      <c r="D85" s="70" t="s">
        <v>1604</v>
      </c>
      <c r="E85" s="7"/>
      <c r="F85" s="7"/>
      <c r="G85" s="7"/>
      <c r="H85" s="7"/>
      <c r="I85" s="7"/>
      <c r="J85" s="7"/>
      <c r="K85" s="7"/>
      <c r="L85" s="7"/>
      <c r="M85" s="7"/>
      <c r="N85" s="7"/>
      <c r="O85" s="7"/>
      <c r="P85" s="7"/>
      <c r="Q85" s="7"/>
      <c r="R85" s="7"/>
      <c r="S85" s="7"/>
      <c r="T85" s="7"/>
      <c r="U85" s="7"/>
      <c r="V85" s="7"/>
      <c r="W85" s="7"/>
      <c r="X85" s="7"/>
      <c r="Y85" s="7"/>
      <c r="Z85" s="7"/>
      <c r="AA85" s="7"/>
      <c r="AB85" s="7"/>
      <c r="AC85" s="4"/>
    </row>
    <row r="86" spans="1:29" ht="16.5" outlineLevel="1">
      <c r="A86" s="4"/>
      <c r="B86" s="4"/>
      <c r="C86" s="169">
        <v>2</v>
      </c>
      <c r="D86" s="70" t="s">
        <v>1605</v>
      </c>
      <c r="E86" s="7"/>
      <c r="F86" s="7"/>
      <c r="G86" s="7"/>
      <c r="H86" s="7"/>
      <c r="I86" s="7"/>
      <c r="J86" s="7"/>
      <c r="K86" s="7"/>
      <c r="L86" s="7"/>
      <c r="M86" s="7"/>
      <c r="N86" s="7"/>
      <c r="O86" s="7"/>
      <c r="P86" s="7"/>
      <c r="Q86" s="7"/>
      <c r="R86" s="7"/>
      <c r="S86" s="7"/>
      <c r="T86" s="7"/>
      <c r="U86" s="7"/>
      <c r="V86" s="7"/>
      <c r="W86" s="7"/>
      <c r="X86" s="7"/>
      <c r="Y86" s="7"/>
      <c r="Z86" s="7"/>
      <c r="AA86" s="7"/>
      <c r="AB86" s="7"/>
      <c r="AC86" s="4"/>
    </row>
    <row r="87" spans="1:29" ht="16.5" outlineLevel="1">
      <c r="A87" s="4"/>
      <c r="B87" s="4"/>
      <c r="C87" s="169">
        <v>3</v>
      </c>
      <c r="D87" s="70" t="s">
        <v>1606</v>
      </c>
      <c r="E87" s="7"/>
      <c r="F87" s="7"/>
      <c r="G87" s="7"/>
      <c r="H87" s="7"/>
      <c r="I87" s="7"/>
      <c r="J87" s="7"/>
      <c r="K87" s="7"/>
      <c r="L87" s="7"/>
      <c r="M87" s="7"/>
      <c r="N87" s="7"/>
      <c r="O87" s="7"/>
      <c r="P87" s="7"/>
      <c r="Q87" s="7"/>
      <c r="R87" s="7"/>
      <c r="S87" s="7"/>
      <c r="T87" s="7"/>
      <c r="U87" s="7"/>
      <c r="V87" s="7"/>
      <c r="W87" s="7"/>
      <c r="X87" s="7"/>
      <c r="Y87" s="7"/>
      <c r="Z87" s="7"/>
      <c r="AA87" s="7"/>
      <c r="AB87" s="7"/>
      <c r="AC87" s="4"/>
    </row>
    <row r="88" spans="1:29" ht="16.5" outlineLevel="1">
      <c r="A88" s="4"/>
      <c r="B88" s="4"/>
      <c r="C88" s="169">
        <v>4</v>
      </c>
      <c r="D88" s="7" t="s">
        <v>876</v>
      </c>
      <c r="E88" s="7"/>
      <c r="F88" s="7"/>
      <c r="G88" s="7"/>
      <c r="H88" s="7"/>
      <c r="I88" s="7"/>
      <c r="J88" s="7"/>
      <c r="K88" s="7"/>
      <c r="L88" s="7"/>
      <c r="M88" s="7"/>
      <c r="N88" s="7"/>
      <c r="O88" s="7"/>
      <c r="P88" s="7"/>
      <c r="Q88" s="7"/>
      <c r="R88" s="7"/>
      <c r="S88" s="7"/>
      <c r="T88" s="7"/>
      <c r="U88" s="7"/>
      <c r="V88" s="7"/>
      <c r="W88" s="7"/>
      <c r="X88" s="7"/>
      <c r="Y88" s="7"/>
      <c r="Z88" s="7"/>
      <c r="AA88" s="7"/>
      <c r="AB88" s="7"/>
      <c r="AC88" s="4"/>
    </row>
    <row r="89" spans="1:29" ht="16.5" outlineLevel="1">
      <c r="A89" s="4"/>
      <c r="B89" s="4"/>
      <c r="C89" s="169">
        <v>4</v>
      </c>
      <c r="D89" s="7" t="s">
        <v>877</v>
      </c>
      <c r="E89" s="7"/>
      <c r="F89" s="7"/>
      <c r="G89" s="7"/>
      <c r="H89" s="7"/>
      <c r="I89" s="7"/>
      <c r="J89" s="7"/>
      <c r="K89" s="7"/>
      <c r="L89" s="7"/>
      <c r="M89" s="7"/>
      <c r="N89" s="7"/>
      <c r="O89" s="7"/>
      <c r="P89" s="7"/>
      <c r="Q89" s="7"/>
      <c r="R89" s="7"/>
      <c r="S89" s="7"/>
      <c r="T89" s="7"/>
      <c r="U89" s="7"/>
      <c r="V89" s="7"/>
      <c r="W89" s="7"/>
      <c r="X89" s="7"/>
      <c r="Y89" s="7"/>
      <c r="Z89" s="7"/>
      <c r="AA89" s="7"/>
      <c r="AB89" s="7"/>
      <c r="AC89" s="4"/>
    </row>
    <row r="90" spans="1:29" ht="16.5" outlineLevel="1">
      <c r="A90" s="4"/>
      <c r="B90" s="4"/>
      <c r="C90" s="169">
        <v>4</v>
      </c>
      <c r="D90" s="7" t="s">
        <v>878</v>
      </c>
      <c r="E90" s="7"/>
      <c r="F90" s="7"/>
      <c r="G90" s="7"/>
      <c r="H90" s="7"/>
      <c r="I90" s="7"/>
      <c r="J90" s="7"/>
      <c r="K90" s="7"/>
      <c r="L90" s="7"/>
      <c r="M90" s="7"/>
      <c r="N90" s="7"/>
      <c r="O90" s="7"/>
      <c r="P90" s="7"/>
      <c r="Q90" s="7"/>
      <c r="R90" s="7"/>
      <c r="S90" s="7"/>
      <c r="T90" s="7"/>
      <c r="U90" s="7"/>
      <c r="V90" s="7"/>
      <c r="W90" s="7"/>
      <c r="X90" s="7"/>
      <c r="Y90" s="7"/>
      <c r="Z90" s="7"/>
      <c r="AA90" s="7"/>
      <c r="AB90" s="7"/>
      <c r="AC90" s="4"/>
    </row>
    <row r="91" spans="1:29">
      <c r="A91" s="4"/>
      <c r="B91" s="4"/>
      <c r="C91" s="4"/>
      <c r="D91" s="4"/>
      <c r="E91" s="4"/>
      <c r="F91" s="4"/>
      <c r="G91" s="4"/>
      <c r="H91" s="4"/>
      <c r="I91" s="4"/>
      <c r="J91" s="4"/>
      <c r="K91" s="4"/>
      <c r="L91" s="4"/>
      <c r="M91" s="4"/>
      <c r="N91" s="4"/>
      <c r="O91" s="4"/>
      <c r="P91" s="4"/>
      <c r="Q91" s="4"/>
      <c r="R91" s="4"/>
      <c r="S91" s="4"/>
      <c r="T91" s="4"/>
      <c r="U91" s="4"/>
      <c r="V91" s="4"/>
      <c r="W91" s="4"/>
      <c r="X91" s="4"/>
      <c r="Y91" s="4"/>
      <c r="Z91" s="4"/>
      <c r="AA91" s="4"/>
      <c r="AB91" s="4"/>
      <c r="AC91" s="4"/>
    </row>
  </sheetData>
  <mergeCells count="2">
    <mergeCell ref="C2:AA2"/>
    <mergeCell ref="C3:AB3"/>
  </mergeCells>
  <phoneticPr fontId="65"/>
  <conditionalFormatting sqref="E25">
    <cfRule type="containsText" dxfId="490" priority="29" operator="containsText" text="Yes">
      <formula>NOT(ISERROR(SEARCH("Yes",E25)))</formula>
    </cfRule>
  </conditionalFormatting>
  <conditionalFormatting sqref="E30">
    <cfRule type="containsText" dxfId="489" priority="27" operator="containsText" text="Pass">
      <formula>NOT(ISERROR(SEARCH("Pass",E30)))</formula>
    </cfRule>
    <cfRule type="containsText" dxfId="488" priority="28" operator="containsText" text="Fail">
      <formula>NOT(ISERROR(SEARCH("Fail",E30)))</formula>
    </cfRule>
  </conditionalFormatting>
  <conditionalFormatting sqref="E31">
    <cfRule type="containsText" dxfId="487" priority="25" operator="containsText" text="Exceeded baseline thresholds">
      <formula>NOT(ISERROR(SEARCH("Exceeded baseline thresholds",E31)))</formula>
    </cfRule>
    <cfRule type="containsText" dxfId="486" priority="26" operator="containsText" text="Within baseline parameters">
      <formula>NOT(ISERROR(SEARCH("Within baseline parameters",E31)))</formula>
    </cfRule>
  </conditionalFormatting>
  <conditionalFormatting sqref="E33">
    <cfRule type="containsText" dxfId="485" priority="23" operator="containsText" text="Pass">
      <formula>NOT(ISERROR(SEARCH("Pass",E33)))</formula>
    </cfRule>
    <cfRule type="containsText" dxfId="484" priority="24" operator="containsText" text="Fail">
      <formula>NOT(ISERROR(SEARCH("Fail",E33)))</formula>
    </cfRule>
  </conditionalFormatting>
  <conditionalFormatting sqref="E34">
    <cfRule type="containsText" dxfId="483" priority="21" operator="containsText" text="Exceeded baseline thresholds">
      <formula>NOT(ISERROR(SEARCH("Exceeded baseline thresholds",E34)))</formula>
    </cfRule>
    <cfRule type="containsText" dxfId="482" priority="22" operator="containsText" text="Within baseline parameters">
      <formula>NOT(ISERROR(SEARCH("Within baseline parameters",E34)))</formula>
    </cfRule>
  </conditionalFormatting>
  <hyperlinks>
    <hyperlink ref="E23" r:id="rId1" display="https://learn.microsoft.com/en-us/azure/architecture/web-apps/app-service/architectures/multi-region" xr:uid="{F921736F-79D9-4F34-A337-3987003943FE}"/>
    <hyperlink ref="D85" location="'1B Commitment, Blueprints'!A1" display="Business Commitment and Test Plans" xr:uid="{55C36F5D-2DE5-445E-8800-A0983D21FE3E}"/>
    <hyperlink ref="D87" location="'4 Test Summary'!A1" display="Application Test Plans" xr:uid="{57F60E33-8B3C-4264-A278-E74AEDBBD5BF}"/>
    <hyperlink ref="D86" location="'2 Service Map'!A1" display="Application Service Map" xr:uid="{EF74F764-6BED-4416-B497-28F20C2F10AB}"/>
  </hyperlinks>
  <pageMargins left="0.7" right="0.7" top="0.75" bottom="0.75" header="0.3" footer="0.3"/>
  <pageSetup orientation="portrait" r:id="rId2"/>
  <drawing r:id="rId3"/>
  <tableParts count="1">
    <tablePart r:id="rId4"/>
  </tableParts>
  <extLst>
    <ext xmlns:x14="http://schemas.microsoft.com/office/spreadsheetml/2009/9/main" uri="{78C0D931-6437-407d-A8EE-F0AAD7539E65}">
      <x14:conditionalFormattings>
        <x14:conditionalFormatting xmlns:xm="http://schemas.microsoft.com/office/excel/2006/main">
          <x14:cfRule type="cellIs" priority="1" operator="equal" id="{1B5DF972-C84A-4AC6-A2C6-6BC021A316B4}">
            <xm:f>Data!$L$13</xm:f>
            <x14:dxf>
              <font>
                <color theme="0"/>
              </font>
              <fill>
                <patternFill>
                  <bgColor rgb="FFF25022"/>
                </patternFill>
              </fill>
            </x14:dxf>
          </x14:cfRule>
          <x14:cfRule type="cellIs" priority="2" operator="equal" id="{9ED18F01-C1FC-4B86-9DD6-0BDF632B0D70}">
            <xm:f>Data!$L$12</xm:f>
            <x14:dxf>
              <font>
                <color theme="0"/>
              </font>
              <fill>
                <patternFill>
                  <bgColor rgb="FFF25022"/>
                </patternFill>
              </fill>
            </x14:dxf>
          </x14:cfRule>
          <x14:cfRule type="cellIs" priority="3" operator="equal" id="{2B3DDB0D-11C3-4931-9180-9251F6564EA6}">
            <xm:f>Data!$L$11</xm:f>
            <x14:dxf>
              <font>
                <color theme="0"/>
              </font>
              <fill>
                <patternFill>
                  <bgColor rgb="FFF25022"/>
                </patternFill>
              </fill>
            </x14:dxf>
          </x14:cfRule>
          <x14:cfRule type="cellIs" priority="4" operator="equal" id="{42E87946-E72A-4255-B44F-7619FB935D4B}">
            <xm:f>Data!$L$10</xm:f>
            <x14:dxf>
              <font>
                <color theme="0"/>
              </font>
              <fill>
                <patternFill>
                  <bgColor rgb="FFF25022"/>
                </patternFill>
              </fill>
            </x14:dxf>
          </x14:cfRule>
          <x14:cfRule type="cellIs" priority="5" operator="equal" id="{D680BF9D-0106-44E7-92E8-95ACFD1E1A69}">
            <xm:f>Data!$L$6</xm:f>
            <x14:dxf>
              <font>
                <color theme="0"/>
              </font>
              <fill>
                <patternFill>
                  <bgColor rgb="FFF25022"/>
                </patternFill>
              </fill>
            </x14:dxf>
          </x14:cfRule>
          <x14:cfRule type="cellIs" priority="6" operator="equal" id="{A84206F1-B69D-4FE0-9629-92EECA67D864}">
            <xm:f>Data!$L$9</xm:f>
            <x14:dxf>
              <font>
                <color theme="1"/>
              </font>
              <fill>
                <patternFill>
                  <bgColor rgb="FF7FBA00"/>
                </patternFill>
              </fill>
            </x14:dxf>
          </x14:cfRule>
          <x14:cfRule type="cellIs" priority="7" operator="equal" id="{DBEF7DEA-5114-4292-869B-18B176749447}">
            <xm:f>Data!$L$8</xm:f>
            <x14:dxf>
              <font>
                <color theme="1"/>
              </font>
              <fill>
                <patternFill>
                  <bgColor rgb="FF00A4EF"/>
                </patternFill>
              </fill>
            </x14:dxf>
          </x14:cfRule>
          <x14:cfRule type="cellIs" priority="8" operator="equal" id="{230A371E-236A-472E-9B52-BF519E074D92}">
            <xm:f>Data!$L$7</xm:f>
            <x14:dxf>
              <font>
                <color theme="1"/>
              </font>
              <fill>
                <patternFill>
                  <bgColor rgb="FFFFB900"/>
                </patternFill>
              </fill>
            </x14:dxf>
          </x14:cfRule>
          <x14:cfRule type="cellIs" priority="9" operator="equal" id="{7FA136ED-CCAC-4C48-83BA-C472941DFBB0}">
            <xm:f>Data!$L$5</xm:f>
            <x14:dxf>
              <font>
                <color theme="0"/>
              </font>
              <fill>
                <patternFill>
                  <bgColor rgb="FFF25022"/>
                </patternFill>
              </fill>
            </x14:dxf>
          </x14:cfRule>
          <x14:cfRule type="cellIs" priority="10" operator="equal" id="{5F4D8C36-35AA-4135-B4FD-0FB375E0F6DD}">
            <xm:f>Data!$L$6+Data!$L$14</xm:f>
            <x14:dxf>
              <font>
                <color theme="0"/>
              </font>
              <fill>
                <patternFill>
                  <bgColor rgb="FF747474"/>
                </patternFill>
              </fill>
            </x14:dxf>
          </x14:cfRule>
          <xm:sqref>E16:E17</xm:sqref>
        </x14:conditionalFormatting>
        <x14:conditionalFormatting xmlns:xm="http://schemas.microsoft.com/office/excel/2006/main">
          <x14:cfRule type="cellIs" priority="11" operator="equal" id="{6BC4CBEB-79C8-41E8-966F-D6481793E400}">
            <xm:f>Data!$L$13</xm:f>
            <x14:dxf>
              <font>
                <color theme="0"/>
              </font>
              <fill>
                <patternFill>
                  <bgColor rgb="FFF25022"/>
                </patternFill>
              </fill>
            </x14:dxf>
          </x14:cfRule>
          <x14:cfRule type="cellIs" priority="12" operator="equal" id="{99354707-742A-4300-89CC-E1D5F2FE2D8A}">
            <xm:f>Data!$L$12</xm:f>
            <x14:dxf>
              <font>
                <color theme="0"/>
              </font>
              <fill>
                <patternFill>
                  <bgColor rgb="FFF25022"/>
                </patternFill>
              </fill>
            </x14:dxf>
          </x14:cfRule>
          <x14:cfRule type="cellIs" priority="13" operator="equal" id="{E5644F7B-2A65-437A-AEBB-7052FB8D06D2}">
            <xm:f>Data!$L$11</xm:f>
            <x14:dxf>
              <font>
                <color theme="0"/>
              </font>
              <fill>
                <patternFill>
                  <bgColor rgb="FFF25022"/>
                </patternFill>
              </fill>
            </x14:dxf>
          </x14:cfRule>
          <x14:cfRule type="cellIs" priority="14" operator="equal" id="{2476A836-93E8-4ADD-818E-7430FA5B1CE7}">
            <xm:f>Data!$L$10</xm:f>
            <x14:dxf>
              <font>
                <color theme="0"/>
              </font>
              <fill>
                <patternFill>
                  <bgColor rgb="FFF25022"/>
                </patternFill>
              </fill>
            </x14:dxf>
          </x14:cfRule>
          <x14:cfRule type="cellIs" priority="15" operator="equal" id="{DDE7485C-3D09-4523-A625-59FA2CFBC82C}">
            <xm:f>Data!$L$6</xm:f>
            <x14:dxf>
              <font>
                <color theme="0"/>
              </font>
              <fill>
                <patternFill>
                  <bgColor rgb="FFF25022"/>
                </patternFill>
              </fill>
            </x14:dxf>
          </x14:cfRule>
          <x14:cfRule type="cellIs" priority="16" operator="equal" id="{1693F375-9585-4687-88FE-BAF5495C1243}">
            <xm:f>Data!$L$9</xm:f>
            <x14:dxf>
              <font>
                <color theme="1"/>
              </font>
              <fill>
                <patternFill>
                  <bgColor rgb="FF7FBA00"/>
                </patternFill>
              </fill>
            </x14:dxf>
          </x14:cfRule>
          <x14:cfRule type="cellIs" priority="17" operator="equal" id="{7F61595C-0D09-4EC4-97E6-DBD64F45A7CB}">
            <xm:f>Data!$L$8</xm:f>
            <x14:dxf>
              <font>
                <color theme="0"/>
              </font>
              <fill>
                <patternFill>
                  <bgColor rgb="FF00A4EF"/>
                </patternFill>
              </fill>
            </x14:dxf>
          </x14:cfRule>
          <x14:cfRule type="cellIs" priority="18" operator="equal" id="{126E1D03-11DF-42F0-8BF1-5D6B88DE4048}">
            <xm:f>Data!$L$7</xm:f>
            <x14:dxf>
              <font>
                <color theme="1"/>
              </font>
              <fill>
                <patternFill>
                  <bgColor rgb="FFFFB900"/>
                </patternFill>
              </fill>
            </x14:dxf>
          </x14:cfRule>
          <x14:cfRule type="cellIs" priority="19" operator="equal" id="{55757E8D-1D17-4241-9979-ED2B5F5D7F12}">
            <xm:f>Data!$L$5</xm:f>
            <x14:dxf>
              <font>
                <color theme="0"/>
              </font>
              <fill>
                <patternFill>
                  <bgColor rgb="FFF25022"/>
                </patternFill>
              </fill>
            </x14:dxf>
          </x14:cfRule>
          <x14:cfRule type="cellIs" priority="20" operator="equal" id="{8BE19415-307B-429B-AD30-32225139A1F6}">
            <xm:f>Data!$L$6+Data!$L$14</xm:f>
            <x14:dxf>
              <font>
                <color theme="0"/>
              </font>
              <fill>
                <patternFill>
                  <bgColor rgb="FF747474"/>
                </patternFill>
              </fill>
            </x14:dxf>
          </x14:cfRule>
          <xm:sqref>E47:F53</xm:sqref>
        </x14:conditionalFormatting>
      </x14:conditionalFormattings>
    </ext>
    <ext xmlns:x14="http://schemas.microsoft.com/office/spreadsheetml/2009/9/main" uri="{CCE6A557-97BC-4b89-ADB6-D9C93CAAB3DF}">
      <x14:dataValidations xmlns:xm="http://schemas.microsoft.com/office/excel/2006/main" count="3">
        <x14:dataValidation type="list" allowBlank="1" showInputMessage="1" showErrorMessage="1" xr:uid="{7C373D17-365E-4B97-9182-D6C01B938086}">
          <x14:formula1>
            <xm:f>Data!$L$35:$L$37</xm:f>
          </x14:formula1>
          <xm:sqref>E24</xm:sqref>
        </x14:dataValidation>
        <x14:dataValidation type="list" allowBlank="1" showInputMessage="1" showErrorMessage="1" xr:uid="{C93E2E36-37C0-4A14-AF50-492EA2662AE2}">
          <x14:formula1>
            <xm:f>Data!$H$26:$H$27</xm:f>
          </x14:formula1>
          <xm:sqref>E31 E34</xm:sqref>
        </x14:dataValidation>
        <x14:dataValidation type="list" allowBlank="1" showInputMessage="1" showErrorMessage="1" xr:uid="{BA994FB9-3D5B-499B-90AD-01E378F53616}">
          <x14:formula1>
            <xm:f>Data!$H$18:$H$19</xm:f>
          </x14:formula1>
          <xm:sqref>E30 E33</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6CB4E-6BFA-4CF4-80D3-4AADD7003297}">
  <sheetPr>
    <tabColor rgb="FF00A4EF"/>
  </sheetPr>
  <dimension ref="A1:K168"/>
  <sheetViews>
    <sheetView showGridLines="0" showRowColHeaders="0" topLeftCell="A35" zoomScaleNormal="100" workbookViewId="0">
      <selection activeCell="D148" sqref="D148"/>
    </sheetView>
  </sheetViews>
  <sheetFormatPr defaultColWidth="0" defaultRowHeight="14.45" customHeight="1" zeroHeight="1" outlineLevelRow="1"/>
  <cols>
    <col min="1" max="2" width="5.85546875" customWidth="1"/>
    <col min="3" max="3" width="3.85546875" customWidth="1"/>
    <col min="4" max="4" width="77.85546875" bestFit="1" customWidth="1"/>
    <col min="5" max="5" width="66.42578125" bestFit="1" customWidth="1"/>
    <col min="6" max="6" width="16.85546875" bestFit="1" customWidth="1"/>
    <col min="7" max="7" width="14.140625" bestFit="1" customWidth="1"/>
    <col min="8" max="9" width="19" bestFit="1" customWidth="1"/>
    <col min="10" max="10" width="23.5703125" customWidth="1"/>
    <col min="11" max="11" width="3.85546875" customWidth="1"/>
    <col min="12" max="16384" width="63.42578125" hidden="1"/>
  </cols>
  <sheetData>
    <row r="1" spans="1:11">
      <c r="A1" s="4"/>
      <c r="B1" s="4"/>
      <c r="C1" s="4"/>
      <c r="D1" s="4"/>
      <c r="E1" s="4"/>
      <c r="F1" s="4"/>
      <c r="G1" s="4"/>
      <c r="H1" s="4"/>
      <c r="I1" s="4"/>
      <c r="J1" s="4"/>
      <c r="K1" s="4"/>
    </row>
    <row r="2" spans="1:11" ht="21">
      <c r="A2" s="4"/>
      <c r="B2" s="4"/>
      <c r="C2" s="618" t="s">
        <v>1614</v>
      </c>
      <c r="D2" s="618"/>
      <c r="E2" s="618"/>
      <c r="F2" s="618"/>
      <c r="G2" s="618"/>
      <c r="H2" s="618"/>
      <c r="I2" s="618"/>
      <c r="J2" s="618"/>
      <c r="K2" s="4"/>
    </row>
    <row r="3" spans="1:11" ht="14.45" customHeight="1">
      <c r="A3" s="4"/>
      <c r="B3" s="4"/>
      <c r="C3" s="646" t="s">
        <v>1615</v>
      </c>
      <c r="D3" s="646"/>
      <c r="E3" s="646"/>
      <c r="F3" s="646"/>
      <c r="G3" s="646"/>
      <c r="H3" s="646"/>
      <c r="I3" s="646"/>
      <c r="J3" s="646"/>
      <c r="K3" s="4"/>
    </row>
    <row r="4" spans="1:11" ht="14.45" customHeight="1">
      <c r="A4" s="4"/>
      <c r="B4" s="4"/>
      <c r="C4" s="4"/>
      <c r="D4" s="4"/>
      <c r="E4" s="4"/>
      <c r="F4" s="4"/>
      <c r="G4" s="4"/>
      <c r="H4" s="4"/>
      <c r="I4" s="4"/>
      <c r="J4" s="4"/>
      <c r="K4" s="4"/>
    </row>
    <row r="5" spans="1:11" ht="14.45" customHeight="1">
      <c r="A5" s="4"/>
      <c r="B5" s="4"/>
      <c r="C5" s="7"/>
      <c r="D5" s="54"/>
      <c r="E5" s="54"/>
      <c r="F5" s="54"/>
      <c r="G5" s="54"/>
      <c r="H5" s="54"/>
      <c r="I5" s="54"/>
      <c r="J5" s="54"/>
      <c r="K5" s="8"/>
    </row>
    <row r="6" spans="1:11" ht="14.45" customHeight="1">
      <c r="A6" s="4"/>
      <c r="B6" s="4"/>
      <c r="C6" s="7"/>
      <c r="D6" s="107" t="s">
        <v>890</v>
      </c>
      <c r="E6" s="244" t="s">
        <v>891</v>
      </c>
      <c r="F6" s="241"/>
      <c r="G6" s="241"/>
      <c r="H6" s="54"/>
      <c r="I6" s="54"/>
      <c r="J6" s="54"/>
      <c r="K6" s="8"/>
    </row>
    <row r="7" spans="1:11" ht="14.45" customHeight="1">
      <c r="A7" s="4"/>
      <c r="B7" s="4"/>
      <c r="C7" s="7"/>
      <c r="D7" s="107" t="s">
        <v>892</v>
      </c>
      <c r="E7" s="244" t="s">
        <v>893</v>
      </c>
      <c r="F7" s="241"/>
      <c r="G7" s="241"/>
      <c r="H7" s="54"/>
      <c r="I7" s="54"/>
      <c r="J7" s="54"/>
      <c r="K7" s="8"/>
    </row>
    <row r="8" spans="1:11" ht="14.45" customHeight="1">
      <c r="A8" s="4"/>
      <c r="B8" s="4"/>
      <c r="C8" s="7"/>
      <c r="D8" s="107" t="s">
        <v>117</v>
      </c>
      <c r="E8" s="244" t="s">
        <v>894</v>
      </c>
      <c r="F8" s="241"/>
      <c r="G8" s="241"/>
      <c r="H8" s="54"/>
      <c r="I8" s="54"/>
      <c r="J8" s="54"/>
      <c r="K8" s="8"/>
    </row>
    <row r="9" spans="1:11" ht="14.45" customHeight="1">
      <c r="A9" s="4"/>
      <c r="B9" s="4"/>
      <c r="C9" s="7"/>
      <c r="D9" s="107" t="s">
        <v>822</v>
      </c>
      <c r="E9" s="244"/>
      <c r="F9" s="241"/>
      <c r="G9" s="241"/>
      <c r="H9" s="54"/>
      <c r="I9" s="54"/>
      <c r="J9" s="54"/>
      <c r="K9" s="8"/>
    </row>
    <row r="10" spans="1:11" ht="14.45" customHeight="1">
      <c r="A10" s="4"/>
      <c r="B10" s="4"/>
      <c r="C10" s="7"/>
      <c r="D10" s="107" t="s">
        <v>895</v>
      </c>
      <c r="E10" s="244"/>
      <c r="F10" s="241"/>
      <c r="G10" s="241"/>
      <c r="H10" s="54"/>
      <c r="I10" s="54"/>
      <c r="J10" s="54"/>
      <c r="K10" s="8"/>
    </row>
    <row r="11" spans="1:11" ht="14.45" customHeight="1">
      <c r="A11" s="4"/>
      <c r="B11" s="4"/>
      <c r="C11" s="7"/>
      <c r="D11" s="107" t="s">
        <v>896</v>
      </c>
      <c r="E11" s="244"/>
      <c r="F11" s="241"/>
      <c r="G11" s="241"/>
      <c r="H11" s="54"/>
      <c r="I11" s="54"/>
      <c r="J11" s="54"/>
      <c r="K11" s="8"/>
    </row>
    <row r="12" spans="1:11" ht="14.45" customHeight="1">
      <c r="A12" s="4"/>
      <c r="B12" s="4"/>
      <c r="C12" s="7"/>
      <c r="D12" s="107" t="s">
        <v>477</v>
      </c>
      <c r="E12" s="244"/>
      <c r="F12" s="241"/>
      <c r="G12" s="241"/>
      <c r="H12" s="54"/>
      <c r="I12" s="54"/>
      <c r="J12" s="54"/>
      <c r="K12" s="8"/>
    </row>
    <row r="13" spans="1:11" ht="14.45" customHeight="1">
      <c r="A13" s="4"/>
      <c r="B13" s="4"/>
      <c r="C13" s="7"/>
      <c r="D13" s="107" t="s">
        <v>897</v>
      </c>
      <c r="E13" s="244" t="s">
        <v>317</v>
      </c>
      <c r="F13" s="241"/>
      <c r="G13" s="241"/>
      <c r="H13" s="54"/>
      <c r="I13" s="54"/>
      <c r="J13" s="54"/>
      <c r="K13" s="8"/>
    </row>
    <row r="14" spans="1:11" ht="14.45" customHeight="1">
      <c r="A14" s="4"/>
      <c r="B14" s="4"/>
      <c r="C14" s="7"/>
      <c r="D14" s="107" t="s">
        <v>267</v>
      </c>
      <c r="E14" s="245" t="s">
        <v>328</v>
      </c>
      <c r="F14" s="242"/>
      <c r="G14" s="242"/>
      <c r="H14" s="54"/>
      <c r="I14" s="54"/>
      <c r="J14" s="54"/>
      <c r="K14" s="8"/>
    </row>
    <row r="15" spans="1:11" ht="14.45" customHeight="1">
      <c r="A15" s="4"/>
      <c r="B15" s="4"/>
      <c r="C15" s="7"/>
      <c r="D15" s="107" t="s">
        <v>898</v>
      </c>
      <c r="E15" s="372" t="s">
        <v>899</v>
      </c>
      <c r="F15" s="242"/>
      <c r="G15" s="242"/>
      <c r="H15" s="54"/>
      <c r="I15" s="54"/>
      <c r="J15" s="54"/>
      <c r="K15" s="8"/>
    </row>
    <row r="16" spans="1:11" ht="14.45" customHeight="1">
      <c r="A16" s="4"/>
      <c r="B16" s="4"/>
      <c r="C16" s="7"/>
      <c r="D16" s="107" t="s">
        <v>900</v>
      </c>
      <c r="E16" s="246">
        <v>45020</v>
      </c>
      <c r="F16" s="243"/>
      <c r="G16" s="243"/>
      <c r="H16" s="54"/>
      <c r="I16" s="54"/>
      <c r="J16" s="54"/>
      <c r="K16" s="8"/>
    </row>
    <row r="17" spans="1:11" ht="14.45" customHeight="1">
      <c r="A17" s="4"/>
      <c r="B17" s="4"/>
      <c r="C17" s="7"/>
      <c r="D17" s="107" t="s">
        <v>901</v>
      </c>
      <c r="E17" s="246">
        <v>45386</v>
      </c>
      <c r="F17" s="243"/>
      <c r="G17" s="243"/>
      <c r="H17" s="54"/>
      <c r="I17" s="54"/>
      <c r="J17" s="54"/>
      <c r="K17" s="8"/>
    </row>
    <row r="18" spans="1:11" ht="14.45" customHeight="1">
      <c r="A18" s="4"/>
      <c r="B18" s="4"/>
      <c r="C18" s="7"/>
      <c r="D18" s="107" t="s">
        <v>902</v>
      </c>
      <c r="E18" s="247">
        <v>43160</v>
      </c>
      <c r="F18" s="87"/>
      <c r="G18" s="87"/>
      <c r="H18" s="54"/>
      <c r="I18" s="54"/>
      <c r="J18" s="54"/>
      <c r="K18" s="8"/>
    </row>
    <row r="19" spans="1:11" ht="14.45" customHeight="1">
      <c r="A19" s="4"/>
      <c r="B19" s="4"/>
      <c r="C19" s="7"/>
      <c r="D19" s="107" t="s">
        <v>903</v>
      </c>
      <c r="E19" s="247" t="s">
        <v>904</v>
      </c>
      <c r="F19" s="87"/>
      <c r="G19" s="87"/>
      <c r="H19" s="54"/>
      <c r="I19" s="54"/>
      <c r="J19" s="54"/>
      <c r="K19" s="8"/>
    </row>
    <row r="20" spans="1:11" ht="14.45" customHeight="1">
      <c r="A20" s="4"/>
      <c r="B20" s="4"/>
      <c r="C20" s="7"/>
      <c r="D20" s="107" t="s">
        <v>905</v>
      </c>
      <c r="E20" s="247" t="s">
        <v>906</v>
      </c>
      <c r="F20" s="87"/>
      <c r="G20" s="87"/>
      <c r="H20" s="54"/>
      <c r="I20" s="54"/>
      <c r="J20" s="54"/>
      <c r="K20" s="8"/>
    </row>
    <row r="21" spans="1:11" ht="14.45" customHeight="1">
      <c r="A21" s="4"/>
      <c r="B21" s="4"/>
      <c r="C21" s="7"/>
      <c r="D21" s="108" t="s">
        <v>907</v>
      </c>
      <c r="E21" s="248" t="s">
        <v>908</v>
      </c>
      <c r="F21" s="67"/>
      <c r="G21" s="67"/>
      <c r="H21" s="54"/>
      <c r="I21" s="54"/>
      <c r="J21" s="54"/>
      <c r="K21" s="8"/>
    </row>
    <row r="22" spans="1:11" ht="14.45" customHeight="1">
      <c r="A22" s="4"/>
      <c r="B22" s="4"/>
      <c r="C22" s="7"/>
      <c r="D22" s="54"/>
      <c r="E22" s="54"/>
      <c r="F22" s="160"/>
      <c r="G22" s="160"/>
      <c r="H22" s="54"/>
      <c r="I22" s="54"/>
      <c r="J22" s="54"/>
      <c r="K22" s="8"/>
    </row>
    <row r="23" spans="1:11" ht="14.45" customHeight="1">
      <c r="A23" s="4"/>
      <c r="B23" s="4"/>
      <c r="C23" s="4"/>
      <c r="D23" s="4"/>
      <c r="E23" s="4"/>
      <c r="F23" s="4"/>
      <c r="G23" s="4"/>
      <c r="H23" s="4"/>
      <c r="I23" s="4"/>
      <c r="J23" s="4"/>
      <c r="K23" s="4"/>
    </row>
    <row r="24" spans="1:11" s="122" customFormat="1" ht="21">
      <c r="A24" s="101"/>
      <c r="B24" s="101"/>
      <c r="C24" s="102" t="s">
        <v>1616</v>
      </c>
      <c r="D24" s="101"/>
      <c r="E24" s="101"/>
      <c r="F24" s="101"/>
      <c r="G24" s="101"/>
      <c r="H24" s="101"/>
      <c r="I24" s="101"/>
      <c r="J24" s="101"/>
      <c r="K24" s="101"/>
    </row>
    <row r="25" spans="1:11" ht="14.45" customHeight="1">
      <c r="A25" s="4"/>
      <c r="B25" s="4"/>
      <c r="C25" s="68"/>
      <c r="D25" s="4"/>
      <c r="E25" s="4"/>
      <c r="F25" s="4"/>
      <c r="G25" s="4"/>
      <c r="H25" s="4"/>
      <c r="I25" s="4"/>
      <c r="J25" s="4"/>
      <c r="K25" s="4"/>
    </row>
    <row r="26" spans="1:11" ht="14.45" customHeight="1">
      <c r="A26" s="4"/>
      <c r="B26" s="4"/>
      <c r="C26" s="68" t="s">
        <v>1210</v>
      </c>
      <c r="D26" s="4"/>
      <c r="E26" s="4"/>
      <c r="F26" s="4"/>
      <c r="G26" s="4"/>
      <c r="H26" s="4"/>
      <c r="I26" s="4"/>
      <c r="J26" s="4"/>
      <c r="K26" s="4"/>
    </row>
    <row r="27" spans="1:11" ht="14.45" customHeight="1" outlineLevel="1">
      <c r="A27" s="4"/>
      <c r="B27" s="4"/>
      <c r="C27" s="4"/>
      <c r="D27" s="4"/>
      <c r="E27" s="4"/>
      <c r="F27" s="4"/>
      <c r="G27" s="4"/>
      <c r="H27" s="4"/>
      <c r="I27" s="4"/>
      <c r="J27" s="4"/>
      <c r="K27" s="4"/>
    </row>
    <row r="28" spans="1:11" ht="14.45" customHeight="1" outlineLevel="1">
      <c r="A28" s="4"/>
      <c r="B28" s="4"/>
      <c r="C28" s="7"/>
      <c r="D28" s="7"/>
      <c r="E28" s="7"/>
      <c r="F28" s="7"/>
      <c r="G28" s="7"/>
      <c r="H28" s="7"/>
      <c r="I28" s="7"/>
      <c r="J28" s="7"/>
      <c r="K28" s="4"/>
    </row>
    <row r="29" spans="1:11" ht="14.45" customHeight="1" outlineLevel="1">
      <c r="A29" s="4"/>
      <c r="B29" s="4"/>
      <c r="C29" s="7"/>
      <c r="D29" s="107" t="s">
        <v>1617</v>
      </c>
      <c r="E29" s="244"/>
      <c r="F29" s="7"/>
      <c r="G29" s="7"/>
      <c r="H29" s="7"/>
      <c r="I29" s="7"/>
      <c r="J29" s="7"/>
      <c r="K29" s="4"/>
    </row>
    <row r="30" spans="1:11" ht="14.45" customHeight="1" outlineLevel="1">
      <c r="A30" s="4"/>
      <c r="B30" s="4"/>
      <c r="C30" s="7"/>
      <c r="D30" s="107" t="s">
        <v>1618</v>
      </c>
      <c r="E30" s="244"/>
      <c r="F30" s="7"/>
      <c r="G30" s="7"/>
      <c r="H30" s="7"/>
      <c r="I30" s="7"/>
      <c r="J30" s="7"/>
      <c r="K30" s="4"/>
    </row>
    <row r="31" spans="1:11" ht="14.45" customHeight="1" outlineLevel="1">
      <c r="A31" s="4"/>
      <c r="B31" s="4"/>
      <c r="C31" s="7"/>
      <c r="D31" s="107" t="s">
        <v>1619</v>
      </c>
      <c r="E31" s="244"/>
      <c r="F31" s="7"/>
      <c r="G31" s="7"/>
      <c r="H31" s="7"/>
      <c r="I31" s="7"/>
      <c r="J31" s="7"/>
      <c r="K31" s="4"/>
    </row>
    <row r="32" spans="1:11" ht="14.45" customHeight="1" outlineLevel="1">
      <c r="A32" s="4"/>
      <c r="B32" s="4"/>
      <c r="C32" s="7"/>
      <c r="D32" s="107" t="s">
        <v>1620</v>
      </c>
      <c r="E32" s="244"/>
      <c r="F32" s="7"/>
      <c r="G32" s="7"/>
      <c r="H32" s="7"/>
      <c r="I32" s="7"/>
      <c r="J32" s="7"/>
      <c r="K32" s="4"/>
    </row>
    <row r="33" spans="1:11" ht="14.45" customHeight="1" outlineLevel="1">
      <c r="A33" s="4"/>
      <c r="B33" s="4"/>
      <c r="C33" s="7"/>
      <c r="D33" s="107" t="s">
        <v>1621</v>
      </c>
      <c r="E33" s="244"/>
      <c r="F33" s="7"/>
      <c r="G33" s="7"/>
      <c r="H33" s="7"/>
      <c r="I33" s="7"/>
      <c r="J33" s="7"/>
      <c r="K33" s="4"/>
    </row>
    <row r="34" spans="1:11" ht="14.45" customHeight="1" outlineLevel="1">
      <c r="A34" s="4"/>
      <c r="B34" s="4"/>
      <c r="C34" s="7"/>
      <c r="D34" s="107" t="s">
        <v>1622</v>
      </c>
      <c r="E34" s="244"/>
      <c r="F34" s="7"/>
      <c r="G34" s="7"/>
      <c r="H34" s="7"/>
      <c r="I34" s="7"/>
      <c r="J34" s="7"/>
      <c r="K34" s="4"/>
    </row>
    <row r="35" spans="1:11" ht="14.45" customHeight="1" outlineLevel="1">
      <c r="A35" s="4"/>
      <c r="B35" s="4"/>
      <c r="C35" s="7"/>
      <c r="D35" s="4" t="s">
        <v>1623</v>
      </c>
      <c r="E35" s="244"/>
      <c r="F35" s="7"/>
      <c r="G35" s="7"/>
      <c r="H35" s="7"/>
      <c r="I35" s="7"/>
      <c r="J35" s="7"/>
      <c r="K35" s="4"/>
    </row>
    <row r="36" spans="1:11" ht="14.45" customHeight="1" outlineLevel="1">
      <c r="A36" s="4"/>
      <c r="B36" s="4"/>
      <c r="C36" s="7"/>
      <c r="D36" s="4" t="s">
        <v>1624</v>
      </c>
      <c r="E36" s="244"/>
      <c r="F36" s="7"/>
      <c r="G36" s="7"/>
      <c r="H36" s="7"/>
      <c r="I36" s="7"/>
      <c r="J36" s="7"/>
      <c r="K36" s="4"/>
    </row>
    <row r="37" spans="1:11" ht="14.45" customHeight="1" outlineLevel="1">
      <c r="A37" s="4"/>
      <c r="B37" s="4"/>
      <c r="C37" s="7"/>
      <c r="D37" s="4" t="s">
        <v>1625</v>
      </c>
      <c r="E37" s="244"/>
      <c r="F37" s="7"/>
      <c r="G37" s="7"/>
      <c r="H37" s="7"/>
      <c r="I37" s="7"/>
      <c r="J37" s="7"/>
      <c r="K37" s="4"/>
    </row>
    <row r="38" spans="1:11" ht="14.45" customHeight="1" outlineLevel="1">
      <c r="A38" s="4"/>
      <c r="B38" s="4"/>
      <c r="C38" s="7"/>
      <c r="D38" s="107" t="s">
        <v>1626</v>
      </c>
      <c r="E38" s="244" t="s">
        <v>1627</v>
      </c>
      <c r="F38" s="7"/>
      <c r="G38" s="7"/>
      <c r="H38" s="7"/>
      <c r="I38" s="7"/>
      <c r="J38" s="7"/>
      <c r="K38" s="4"/>
    </row>
    <row r="39" spans="1:11" ht="14.45" customHeight="1" outlineLevel="1">
      <c r="A39" s="4"/>
      <c r="B39" s="4"/>
      <c r="C39" s="7"/>
      <c r="D39" s="107" t="s">
        <v>1628</v>
      </c>
      <c r="E39" s="244" t="s">
        <v>1629</v>
      </c>
      <c r="F39" s="7"/>
      <c r="G39" s="7"/>
      <c r="H39" s="7"/>
      <c r="I39" s="7"/>
      <c r="J39" s="7"/>
      <c r="K39" s="4"/>
    </row>
    <row r="40" spans="1:11" ht="14.45" customHeight="1" outlineLevel="1">
      <c r="A40" s="4"/>
      <c r="B40" s="4"/>
      <c r="C40" s="7"/>
      <c r="D40" s="346" t="s">
        <v>1630</v>
      </c>
      <c r="E40" s="241"/>
      <c r="F40" s="7"/>
      <c r="G40" s="7"/>
      <c r="H40" s="7"/>
      <c r="I40" s="7"/>
      <c r="J40" s="7"/>
      <c r="K40" s="4"/>
    </row>
    <row r="41" spans="1:11" ht="14.45" customHeight="1" outlineLevel="1">
      <c r="A41" s="4"/>
      <c r="B41" s="4"/>
      <c r="C41" s="7"/>
      <c r="D41" s="346" t="s">
        <v>1631</v>
      </c>
      <c r="E41" s="241"/>
      <c r="F41" s="7"/>
      <c r="G41" s="7"/>
      <c r="H41" s="7"/>
      <c r="I41" s="7"/>
      <c r="J41" s="7"/>
      <c r="K41" s="4"/>
    </row>
    <row r="42" spans="1:11" ht="14.45" customHeight="1" outlineLevel="1">
      <c r="A42" s="4"/>
      <c r="B42" s="4"/>
      <c r="C42" s="7"/>
      <c r="D42" s="346" t="s">
        <v>1632</v>
      </c>
      <c r="E42" s="241"/>
      <c r="F42" s="7"/>
      <c r="G42" s="7"/>
      <c r="H42" s="7"/>
      <c r="I42" s="7"/>
      <c r="J42" s="7"/>
      <c r="K42" s="4"/>
    </row>
    <row r="43" spans="1:11" ht="14.45" customHeight="1" outlineLevel="1">
      <c r="A43" s="4"/>
      <c r="B43" s="4"/>
      <c r="C43" s="7"/>
      <c r="D43" s="346" t="s">
        <v>1633</v>
      </c>
      <c r="E43" s="241"/>
      <c r="F43" s="7"/>
      <c r="G43" s="7"/>
      <c r="H43" s="7"/>
      <c r="I43" s="7"/>
      <c r="J43" s="7"/>
      <c r="K43" s="4"/>
    </row>
    <row r="44" spans="1:11" ht="14.45" customHeight="1" outlineLevel="1">
      <c r="A44" s="4"/>
      <c r="B44" s="4"/>
      <c r="C44" s="7"/>
      <c r="D44" s="7"/>
      <c r="E44" s="7"/>
      <c r="F44" s="7"/>
      <c r="G44" s="7"/>
      <c r="H44" s="7"/>
      <c r="I44" s="7"/>
      <c r="J44" s="7"/>
      <c r="K44" s="4"/>
    </row>
    <row r="45" spans="1:11" ht="14.45" customHeight="1" outlineLevel="1">
      <c r="A45" s="4"/>
      <c r="B45" s="4"/>
      <c r="C45" s="4"/>
      <c r="D45" s="4"/>
      <c r="E45" s="4"/>
      <c r="F45" s="4"/>
      <c r="G45" s="4"/>
      <c r="H45" s="4"/>
      <c r="I45" s="4"/>
      <c r="J45" s="4"/>
      <c r="K45" s="4"/>
    </row>
    <row r="46" spans="1:11" ht="14.45" customHeight="1">
      <c r="A46" s="4"/>
      <c r="B46" s="4"/>
      <c r="C46" s="68" t="s">
        <v>125</v>
      </c>
      <c r="D46" s="4"/>
      <c r="E46" s="4"/>
      <c r="F46" s="4"/>
      <c r="G46" s="4"/>
      <c r="H46" s="4"/>
      <c r="I46" s="4"/>
      <c r="J46" s="4"/>
      <c r="K46" s="4"/>
    </row>
    <row r="47" spans="1:11" ht="14.45" customHeight="1" outlineLevel="1">
      <c r="A47" s="4"/>
      <c r="B47" s="4"/>
      <c r="C47" s="4"/>
      <c r="D47" s="4"/>
      <c r="E47" s="4"/>
      <c r="F47" s="4"/>
      <c r="G47" s="4"/>
      <c r="H47" s="4"/>
      <c r="I47" s="4"/>
      <c r="J47" s="4"/>
      <c r="K47" s="4"/>
    </row>
    <row r="48" spans="1:11" ht="14.45" customHeight="1" outlineLevel="1">
      <c r="A48" s="4"/>
      <c r="B48" s="4"/>
      <c r="C48" s="7"/>
      <c r="D48" s="7"/>
      <c r="E48" s="7"/>
      <c r="F48" s="7"/>
      <c r="G48" s="7"/>
      <c r="H48" s="7"/>
      <c r="I48" s="7"/>
      <c r="J48" s="7"/>
      <c r="K48" s="4"/>
    </row>
    <row r="49" spans="1:11" ht="14.45" customHeight="1" outlineLevel="1">
      <c r="A49" s="4"/>
      <c r="B49" s="4"/>
      <c r="C49" s="7"/>
      <c r="D49" s="107" t="s">
        <v>1617</v>
      </c>
      <c r="E49" s="244"/>
      <c r="F49" s="7"/>
      <c r="G49" s="7"/>
      <c r="H49" s="7"/>
      <c r="I49" s="7"/>
      <c r="J49" s="7"/>
      <c r="K49" s="4"/>
    </row>
    <row r="50" spans="1:11" ht="14.45" customHeight="1" outlineLevel="1">
      <c r="A50" s="4"/>
      <c r="B50" s="4"/>
      <c r="C50" s="7"/>
      <c r="D50" s="107" t="s">
        <v>1618</v>
      </c>
      <c r="E50" s="244"/>
      <c r="F50" s="7"/>
      <c r="G50" s="7"/>
      <c r="H50" s="7"/>
      <c r="I50" s="7"/>
      <c r="J50" s="7"/>
      <c r="K50" s="4"/>
    </row>
    <row r="51" spans="1:11" ht="14.45" customHeight="1" outlineLevel="1">
      <c r="A51" s="4"/>
      <c r="B51" s="4"/>
      <c r="C51" s="7"/>
      <c r="D51" s="107" t="s">
        <v>1619</v>
      </c>
      <c r="E51" s="244"/>
      <c r="F51" s="7"/>
      <c r="G51" s="7"/>
      <c r="H51" s="7"/>
      <c r="I51" s="7"/>
      <c r="J51" s="7"/>
      <c r="K51" s="4"/>
    </row>
    <row r="52" spans="1:11" ht="14.45" customHeight="1" outlineLevel="1">
      <c r="A52" s="4"/>
      <c r="B52" s="4"/>
      <c r="C52" s="7"/>
      <c r="D52" s="107" t="s">
        <v>1620</v>
      </c>
      <c r="E52" s="244"/>
      <c r="F52" s="7"/>
      <c r="G52" s="7"/>
      <c r="H52" s="7"/>
      <c r="I52" s="7"/>
      <c r="J52" s="7"/>
      <c r="K52" s="4"/>
    </row>
    <row r="53" spans="1:11" ht="14.45" customHeight="1" outlineLevel="1">
      <c r="A53" s="4"/>
      <c r="B53" s="4"/>
      <c r="C53" s="7"/>
      <c r="D53" s="107" t="s">
        <v>1621</v>
      </c>
      <c r="E53" s="244"/>
      <c r="F53" s="7"/>
      <c r="G53" s="7"/>
      <c r="H53" s="7"/>
      <c r="I53" s="7"/>
      <c r="J53" s="7"/>
      <c r="K53" s="4"/>
    </row>
    <row r="54" spans="1:11" ht="14.45" customHeight="1" outlineLevel="1">
      <c r="A54" s="4"/>
      <c r="B54" s="4"/>
      <c r="C54" s="7"/>
      <c r="D54" s="107" t="s">
        <v>1622</v>
      </c>
      <c r="E54" s="244"/>
      <c r="F54" s="7"/>
      <c r="G54" s="7"/>
      <c r="H54" s="7"/>
      <c r="I54" s="7"/>
      <c r="J54" s="7"/>
      <c r="K54" s="4"/>
    </row>
    <row r="55" spans="1:11" ht="14.45" customHeight="1" outlineLevel="1">
      <c r="A55" s="4"/>
      <c r="B55" s="4"/>
      <c r="C55" s="7"/>
      <c r="D55" s="4" t="s">
        <v>1623</v>
      </c>
      <c r="E55" s="244"/>
      <c r="F55" s="7"/>
      <c r="G55" s="7"/>
      <c r="H55" s="7"/>
      <c r="I55" s="7"/>
      <c r="J55" s="7"/>
      <c r="K55" s="4"/>
    </row>
    <row r="56" spans="1:11" ht="14.45" customHeight="1" outlineLevel="1">
      <c r="A56" s="4"/>
      <c r="B56" s="4"/>
      <c r="C56" s="7"/>
      <c r="D56" s="4" t="s">
        <v>1624</v>
      </c>
      <c r="E56" s="244"/>
      <c r="F56" s="7"/>
      <c r="G56" s="7"/>
      <c r="H56" s="7"/>
      <c r="I56" s="7"/>
      <c r="J56" s="7"/>
      <c r="K56" s="4"/>
    </row>
    <row r="57" spans="1:11" ht="14.45" customHeight="1" outlineLevel="1">
      <c r="A57" s="4"/>
      <c r="B57" s="4"/>
      <c r="C57" s="7"/>
      <c r="D57" s="4" t="s">
        <v>1625</v>
      </c>
      <c r="E57" s="244"/>
      <c r="F57" s="7"/>
      <c r="G57" s="7"/>
      <c r="H57" s="7"/>
      <c r="I57" s="7"/>
      <c r="J57" s="7"/>
      <c r="K57" s="4"/>
    </row>
    <row r="58" spans="1:11" ht="14.45" customHeight="1" outlineLevel="1">
      <c r="A58" s="4"/>
      <c r="B58" s="4"/>
      <c r="C58" s="7"/>
      <c r="D58" s="107" t="s">
        <v>1626</v>
      </c>
      <c r="E58" s="244" t="s">
        <v>1627</v>
      </c>
      <c r="F58" s="7"/>
      <c r="G58" s="7"/>
      <c r="H58" s="7"/>
      <c r="I58" s="7"/>
      <c r="J58" s="7"/>
      <c r="K58" s="4"/>
    </row>
    <row r="59" spans="1:11" ht="14.45" customHeight="1" outlineLevel="1">
      <c r="A59" s="4"/>
      <c r="B59" s="4"/>
      <c r="C59" s="7"/>
      <c r="D59" s="107" t="s">
        <v>1628</v>
      </c>
      <c r="E59" s="244" t="s">
        <v>1629</v>
      </c>
      <c r="F59" s="7"/>
      <c r="G59" s="7"/>
      <c r="H59" s="7"/>
      <c r="I59" s="7"/>
      <c r="J59" s="7"/>
      <c r="K59" s="4"/>
    </row>
    <row r="60" spans="1:11" ht="14.45" customHeight="1" outlineLevel="1">
      <c r="A60" s="4"/>
      <c r="B60" s="4"/>
      <c r="C60" s="7"/>
      <c r="D60" s="346" t="s">
        <v>1630</v>
      </c>
      <c r="E60" s="241"/>
      <c r="F60" s="7"/>
      <c r="G60" s="7"/>
      <c r="H60" s="7"/>
      <c r="I60" s="7"/>
      <c r="J60" s="7"/>
      <c r="K60" s="4"/>
    </row>
    <row r="61" spans="1:11" ht="14.45" customHeight="1" outlineLevel="1">
      <c r="A61" s="4"/>
      <c r="B61" s="4"/>
      <c r="C61" s="7"/>
      <c r="D61" s="346" t="s">
        <v>1631</v>
      </c>
      <c r="E61" s="241"/>
      <c r="F61" s="7"/>
      <c r="G61" s="7"/>
      <c r="H61" s="7"/>
      <c r="I61" s="7"/>
      <c r="J61" s="7"/>
      <c r="K61" s="4"/>
    </row>
    <row r="62" spans="1:11" ht="14.45" customHeight="1" outlineLevel="1">
      <c r="A62" s="4"/>
      <c r="B62" s="4"/>
      <c r="C62" s="7"/>
      <c r="D62" s="346" t="s">
        <v>1632</v>
      </c>
      <c r="E62" s="241"/>
      <c r="F62" s="7"/>
      <c r="G62" s="7"/>
      <c r="H62" s="7"/>
      <c r="I62" s="7"/>
      <c r="J62" s="7"/>
      <c r="K62" s="4"/>
    </row>
    <row r="63" spans="1:11" ht="14.45" customHeight="1" outlineLevel="1">
      <c r="A63" s="4"/>
      <c r="B63" s="4"/>
      <c r="C63" s="7"/>
      <c r="D63" s="346" t="s">
        <v>1633</v>
      </c>
      <c r="E63" s="241"/>
      <c r="F63" s="7"/>
      <c r="G63" s="7"/>
      <c r="H63" s="7"/>
      <c r="I63" s="7"/>
      <c r="J63" s="7"/>
      <c r="K63" s="4"/>
    </row>
    <row r="64" spans="1:11" ht="14.45" customHeight="1" outlineLevel="1">
      <c r="A64" s="4"/>
      <c r="B64" s="4"/>
      <c r="C64" s="7"/>
      <c r="D64" s="7"/>
      <c r="E64" s="7"/>
      <c r="F64" s="7"/>
      <c r="G64" s="7"/>
      <c r="H64" s="7"/>
      <c r="I64" s="7"/>
      <c r="J64" s="7"/>
      <c r="K64" s="4"/>
    </row>
    <row r="65" spans="1:11" ht="14.45" customHeight="1" outlineLevel="1">
      <c r="A65" s="4"/>
      <c r="B65" s="4"/>
      <c r="C65" s="4"/>
      <c r="D65" s="4"/>
      <c r="E65" s="4"/>
      <c r="F65" s="4"/>
      <c r="G65" s="4"/>
      <c r="H65" s="4"/>
      <c r="I65" s="4"/>
      <c r="J65" s="4"/>
      <c r="K65" s="4"/>
    </row>
    <row r="66" spans="1:11" ht="14.45" customHeight="1">
      <c r="A66" s="4"/>
      <c r="B66" s="4"/>
      <c r="C66" s="68" t="s">
        <v>127</v>
      </c>
      <c r="D66" s="4"/>
      <c r="E66" s="4"/>
      <c r="F66" s="4"/>
      <c r="G66" s="4"/>
      <c r="H66" s="4"/>
      <c r="I66" s="4"/>
      <c r="J66" s="4"/>
      <c r="K66" s="4"/>
    </row>
    <row r="67" spans="1:11" ht="14.45" hidden="1" customHeight="1" outlineLevel="1">
      <c r="A67" s="4"/>
      <c r="B67" s="4"/>
      <c r="C67" s="4"/>
      <c r="D67" s="4"/>
      <c r="E67" s="4"/>
      <c r="F67" s="4"/>
      <c r="G67" s="4"/>
      <c r="H67" s="4"/>
      <c r="I67" s="4"/>
      <c r="J67" s="4"/>
      <c r="K67" s="4"/>
    </row>
    <row r="68" spans="1:11" ht="14.45" hidden="1" customHeight="1" outlineLevel="1">
      <c r="A68" s="4"/>
      <c r="B68" s="4"/>
      <c r="C68" s="7"/>
      <c r="D68" s="7"/>
      <c r="E68" s="7"/>
      <c r="F68" s="7"/>
      <c r="G68" s="7"/>
      <c r="H68" s="7"/>
      <c r="I68" s="7"/>
      <c r="J68" s="7"/>
      <c r="K68" s="4"/>
    </row>
    <row r="69" spans="1:11" ht="14.45" hidden="1" customHeight="1" outlineLevel="1">
      <c r="A69" s="4"/>
      <c r="B69" s="4"/>
      <c r="C69" s="7"/>
      <c r="D69" s="107" t="s">
        <v>1617</v>
      </c>
      <c r="E69" s="244"/>
      <c r="F69" s="7"/>
      <c r="G69" s="7"/>
      <c r="H69" s="7"/>
      <c r="I69" s="7"/>
      <c r="J69" s="7"/>
      <c r="K69" s="4"/>
    </row>
    <row r="70" spans="1:11" ht="14.45" hidden="1" customHeight="1" outlineLevel="1">
      <c r="A70" s="4"/>
      <c r="B70" s="4"/>
      <c r="C70" s="7"/>
      <c r="D70" s="107" t="s">
        <v>1618</v>
      </c>
      <c r="E70" s="244"/>
      <c r="F70" s="7"/>
      <c r="G70" s="7"/>
      <c r="H70" s="7"/>
      <c r="I70" s="7"/>
      <c r="J70" s="7"/>
      <c r="K70" s="4"/>
    </row>
    <row r="71" spans="1:11" ht="14.45" hidden="1" customHeight="1" outlineLevel="1">
      <c r="A71" s="4"/>
      <c r="B71" s="4"/>
      <c r="C71" s="7"/>
      <c r="D71" s="107" t="s">
        <v>1619</v>
      </c>
      <c r="E71" s="244"/>
      <c r="F71" s="7"/>
      <c r="G71" s="7"/>
      <c r="H71" s="7"/>
      <c r="I71" s="7"/>
      <c r="J71" s="7"/>
      <c r="K71" s="4"/>
    </row>
    <row r="72" spans="1:11" ht="14.45" hidden="1" customHeight="1" outlineLevel="1">
      <c r="A72" s="4"/>
      <c r="B72" s="4"/>
      <c r="C72" s="7"/>
      <c r="D72" s="107" t="s">
        <v>1620</v>
      </c>
      <c r="E72" s="244"/>
      <c r="F72" s="7"/>
      <c r="G72" s="7"/>
      <c r="H72" s="7"/>
      <c r="I72" s="7"/>
      <c r="J72" s="7"/>
      <c r="K72" s="4"/>
    </row>
    <row r="73" spans="1:11" ht="14.45" hidden="1" customHeight="1" outlineLevel="1">
      <c r="A73" s="4"/>
      <c r="B73" s="4"/>
      <c r="C73" s="7"/>
      <c r="D73" s="107" t="s">
        <v>1621</v>
      </c>
      <c r="E73" s="244"/>
      <c r="F73" s="7"/>
      <c r="G73" s="7"/>
      <c r="H73" s="7"/>
      <c r="I73" s="7"/>
      <c r="J73" s="7"/>
      <c r="K73" s="4"/>
    </row>
    <row r="74" spans="1:11" ht="14.45" hidden="1" customHeight="1" outlineLevel="1">
      <c r="A74" s="4"/>
      <c r="B74" s="4"/>
      <c r="C74" s="7"/>
      <c r="D74" s="107" t="s">
        <v>1622</v>
      </c>
      <c r="E74" s="244"/>
      <c r="F74" s="7"/>
      <c r="G74" s="7"/>
      <c r="H74" s="7"/>
      <c r="I74" s="7"/>
      <c r="J74" s="7"/>
      <c r="K74" s="4"/>
    </row>
    <row r="75" spans="1:11" ht="14.45" hidden="1" customHeight="1" outlineLevel="1">
      <c r="A75" s="4"/>
      <c r="B75" s="4"/>
      <c r="C75" s="7"/>
      <c r="D75" s="4" t="s">
        <v>1623</v>
      </c>
      <c r="E75" s="244"/>
      <c r="F75" s="7"/>
      <c r="G75" s="7"/>
      <c r="H75" s="7"/>
      <c r="I75" s="7"/>
      <c r="J75" s="7"/>
      <c r="K75" s="4"/>
    </row>
    <row r="76" spans="1:11" ht="14.45" hidden="1" customHeight="1" outlineLevel="1">
      <c r="A76" s="4"/>
      <c r="B76" s="4"/>
      <c r="C76" s="7"/>
      <c r="D76" s="4" t="s">
        <v>1624</v>
      </c>
      <c r="E76" s="244"/>
      <c r="F76" s="7"/>
      <c r="G76" s="7"/>
      <c r="H76" s="7"/>
      <c r="I76" s="7"/>
      <c r="J76" s="7"/>
      <c r="K76" s="4"/>
    </row>
    <row r="77" spans="1:11" ht="14.45" hidden="1" customHeight="1" outlineLevel="1">
      <c r="A77" s="4"/>
      <c r="B77" s="4"/>
      <c r="C77" s="7"/>
      <c r="D77" s="4" t="s">
        <v>1625</v>
      </c>
      <c r="E77" s="244"/>
      <c r="F77" s="7"/>
      <c r="G77" s="7"/>
      <c r="H77" s="7"/>
      <c r="I77" s="7"/>
      <c r="J77" s="7"/>
      <c r="K77" s="4"/>
    </row>
    <row r="78" spans="1:11" ht="14.45" hidden="1" customHeight="1" outlineLevel="1">
      <c r="A78" s="4"/>
      <c r="B78" s="4"/>
      <c r="C78" s="7"/>
      <c r="D78" s="107" t="s">
        <v>1626</v>
      </c>
      <c r="E78" s="244" t="s">
        <v>1627</v>
      </c>
      <c r="F78" s="7"/>
      <c r="G78" s="7"/>
      <c r="H78" s="7"/>
      <c r="I78" s="7"/>
      <c r="J78" s="7"/>
      <c r="K78" s="4"/>
    </row>
    <row r="79" spans="1:11" ht="14.45" hidden="1" customHeight="1" outlineLevel="1">
      <c r="A79" s="4"/>
      <c r="B79" s="4"/>
      <c r="C79" s="7"/>
      <c r="D79" s="107" t="s">
        <v>1628</v>
      </c>
      <c r="E79" s="244" t="s">
        <v>1629</v>
      </c>
      <c r="F79" s="7"/>
      <c r="G79" s="7"/>
      <c r="H79" s="7"/>
      <c r="I79" s="7"/>
      <c r="J79" s="7"/>
      <c r="K79" s="4"/>
    </row>
    <row r="80" spans="1:11" ht="14.45" hidden="1" customHeight="1" outlineLevel="1">
      <c r="A80" s="4"/>
      <c r="B80" s="4"/>
      <c r="C80" s="7"/>
      <c r="D80" s="346" t="s">
        <v>1630</v>
      </c>
      <c r="E80" s="241"/>
      <c r="F80" s="7"/>
      <c r="G80" s="7"/>
      <c r="H80" s="7"/>
      <c r="I80" s="7"/>
      <c r="J80" s="7"/>
      <c r="K80" s="4"/>
    </row>
    <row r="81" spans="1:11" ht="14.45" hidden="1" customHeight="1" outlineLevel="1">
      <c r="A81" s="4"/>
      <c r="B81" s="4"/>
      <c r="C81" s="7"/>
      <c r="D81" s="346" t="s">
        <v>1631</v>
      </c>
      <c r="E81" s="241"/>
      <c r="F81" s="7"/>
      <c r="G81" s="7"/>
      <c r="H81" s="7"/>
      <c r="I81" s="7"/>
      <c r="J81" s="7"/>
      <c r="K81" s="4"/>
    </row>
    <row r="82" spans="1:11" ht="14.45" hidden="1" customHeight="1" outlineLevel="1">
      <c r="A82" s="4"/>
      <c r="B82" s="4"/>
      <c r="C82" s="7"/>
      <c r="D82" s="346" t="s">
        <v>1632</v>
      </c>
      <c r="E82" s="241"/>
      <c r="F82" s="7"/>
      <c r="G82" s="7"/>
      <c r="H82" s="7"/>
      <c r="I82" s="7"/>
      <c r="J82" s="7"/>
      <c r="K82" s="4"/>
    </row>
    <row r="83" spans="1:11" ht="14.45" hidden="1" customHeight="1" outlineLevel="1">
      <c r="A83" s="4"/>
      <c r="B83" s="4"/>
      <c r="C83" s="7"/>
      <c r="D83" s="346" t="s">
        <v>1633</v>
      </c>
      <c r="E83" s="241"/>
      <c r="F83" s="7"/>
      <c r="G83" s="7"/>
      <c r="H83" s="7"/>
      <c r="I83" s="7"/>
      <c r="J83" s="7"/>
      <c r="K83" s="4"/>
    </row>
    <row r="84" spans="1:11" ht="14.45" hidden="1" customHeight="1" outlineLevel="1">
      <c r="A84" s="4"/>
      <c r="B84" s="4"/>
      <c r="C84" s="7"/>
      <c r="D84" s="7"/>
      <c r="E84" s="7"/>
      <c r="F84" s="7"/>
      <c r="G84" s="7"/>
      <c r="H84" s="7"/>
      <c r="I84" s="7"/>
      <c r="J84" s="7"/>
      <c r="K84" s="4"/>
    </row>
    <row r="85" spans="1:11" ht="14.45" hidden="1" customHeight="1" outlineLevel="1">
      <c r="A85" s="4"/>
      <c r="B85" s="4"/>
      <c r="C85" s="4"/>
      <c r="D85" s="4"/>
      <c r="E85" s="4"/>
      <c r="F85" s="4"/>
      <c r="G85" s="4"/>
      <c r="H85" s="4"/>
      <c r="I85" s="4"/>
      <c r="J85" s="4"/>
      <c r="K85" s="4"/>
    </row>
    <row r="86" spans="1:11" ht="14.45" customHeight="1" collapsed="1">
      <c r="A86" s="4"/>
      <c r="B86" s="4"/>
      <c r="C86" s="68" t="s">
        <v>1634</v>
      </c>
      <c r="D86" s="4"/>
      <c r="E86" s="4"/>
      <c r="F86" s="4"/>
      <c r="G86" s="4"/>
      <c r="H86" s="4"/>
      <c r="I86" s="4"/>
      <c r="J86" s="4"/>
      <c r="K86" s="4"/>
    </row>
    <row r="87" spans="1:11" ht="14.45" hidden="1" customHeight="1" outlineLevel="1">
      <c r="A87" s="4"/>
      <c r="B87" s="4"/>
      <c r="C87" s="4"/>
      <c r="D87" s="4"/>
      <c r="E87" s="4"/>
      <c r="F87" s="4"/>
      <c r="G87" s="4"/>
      <c r="H87" s="4"/>
      <c r="I87" s="4"/>
      <c r="J87" s="4"/>
      <c r="K87" s="4"/>
    </row>
    <row r="88" spans="1:11" ht="14.45" hidden="1" customHeight="1" outlineLevel="1">
      <c r="A88" s="4"/>
      <c r="B88" s="4"/>
      <c r="C88" s="7"/>
      <c r="D88" s="7"/>
      <c r="E88" s="7"/>
      <c r="F88" s="7"/>
      <c r="G88" s="7"/>
      <c r="H88" s="7"/>
      <c r="I88" s="7"/>
      <c r="J88" s="7"/>
      <c r="K88" s="4"/>
    </row>
    <row r="89" spans="1:11" ht="14.45" hidden="1" customHeight="1" outlineLevel="1">
      <c r="A89" s="4"/>
      <c r="B89" s="4"/>
      <c r="C89" s="7"/>
      <c r="D89" s="107" t="s">
        <v>1617</v>
      </c>
      <c r="E89" s="244"/>
      <c r="F89" s="7"/>
      <c r="G89" s="7"/>
      <c r="H89" s="7"/>
      <c r="I89" s="7"/>
      <c r="J89" s="7"/>
      <c r="K89" s="4"/>
    </row>
    <row r="90" spans="1:11" ht="14.45" hidden="1" customHeight="1" outlineLevel="1">
      <c r="A90" s="4"/>
      <c r="B90" s="4"/>
      <c r="C90" s="7"/>
      <c r="D90" s="107" t="s">
        <v>1618</v>
      </c>
      <c r="E90" s="244"/>
      <c r="F90" s="7"/>
      <c r="G90" s="7"/>
      <c r="H90" s="7"/>
      <c r="I90" s="7"/>
      <c r="J90" s="7"/>
      <c r="K90" s="4"/>
    </row>
    <row r="91" spans="1:11" ht="14.45" hidden="1" customHeight="1" outlineLevel="1">
      <c r="A91" s="4"/>
      <c r="B91" s="4"/>
      <c r="C91" s="7"/>
      <c r="D91" s="107" t="s">
        <v>1619</v>
      </c>
      <c r="E91" s="244"/>
      <c r="F91" s="7"/>
      <c r="G91" s="7"/>
      <c r="H91" s="7"/>
      <c r="I91" s="7"/>
      <c r="J91" s="7"/>
      <c r="K91" s="4"/>
    </row>
    <row r="92" spans="1:11" ht="14.45" hidden="1" customHeight="1" outlineLevel="1">
      <c r="A92" s="4"/>
      <c r="B92" s="4"/>
      <c r="C92" s="7"/>
      <c r="D92" s="107" t="s">
        <v>1620</v>
      </c>
      <c r="E92" s="244"/>
      <c r="F92" s="7"/>
      <c r="G92" s="7"/>
      <c r="H92" s="7"/>
      <c r="I92" s="7"/>
      <c r="J92" s="7"/>
      <c r="K92" s="4"/>
    </row>
    <row r="93" spans="1:11" ht="14.45" hidden="1" customHeight="1" outlineLevel="1">
      <c r="A93" s="4"/>
      <c r="B93" s="4"/>
      <c r="C93" s="7"/>
      <c r="D93" s="107" t="s">
        <v>1621</v>
      </c>
      <c r="E93" s="244"/>
      <c r="F93" s="7"/>
      <c r="G93" s="7"/>
      <c r="H93" s="7"/>
      <c r="I93" s="7"/>
      <c r="J93" s="7"/>
      <c r="K93" s="4"/>
    </row>
    <row r="94" spans="1:11" ht="14.45" hidden="1" customHeight="1" outlineLevel="1">
      <c r="A94" s="4"/>
      <c r="B94" s="4"/>
      <c r="C94" s="7"/>
      <c r="D94" s="107" t="s">
        <v>1622</v>
      </c>
      <c r="E94" s="244"/>
      <c r="F94" s="7"/>
      <c r="G94" s="7"/>
      <c r="H94" s="7"/>
      <c r="I94" s="7"/>
      <c r="J94" s="7"/>
      <c r="K94" s="4"/>
    </row>
    <row r="95" spans="1:11" ht="14.45" hidden="1" customHeight="1" outlineLevel="1">
      <c r="A95" s="4"/>
      <c r="B95" s="4"/>
      <c r="C95" s="7"/>
      <c r="D95" s="4" t="s">
        <v>1623</v>
      </c>
      <c r="E95" s="244"/>
      <c r="F95" s="7"/>
      <c r="G95" s="7"/>
      <c r="H95" s="7"/>
      <c r="I95" s="7"/>
      <c r="J95" s="7"/>
      <c r="K95" s="4"/>
    </row>
    <row r="96" spans="1:11" ht="14.45" hidden="1" customHeight="1" outlineLevel="1">
      <c r="A96" s="4"/>
      <c r="B96" s="4"/>
      <c r="C96" s="7"/>
      <c r="D96" s="4" t="s">
        <v>1624</v>
      </c>
      <c r="E96" s="244"/>
      <c r="F96" s="7"/>
      <c r="G96" s="7"/>
      <c r="H96" s="7"/>
      <c r="I96" s="7"/>
      <c r="J96" s="7"/>
      <c r="K96" s="4"/>
    </row>
    <row r="97" spans="1:11" ht="14.45" hidden="1" customHeight="1" outlineLevel="1">
      <c r="A97" s="4"/>
      <c r="B97" s="4"/>
      <c r="C97" s="7"/>
      <c r="D97" s="4" t="s">
        <v>1625</v>
      </c>
      <c r="E97" s="244"/>
      <c r="F97" s="7"/>
      <c r="G97" s="7"/>
      <c r="H97" s="7"/>
      <c r="I97" s="7"/>
      <c r="J97" s="7"/>
      <c r="K97" s="4"/>
    </row>
    <row r="98" spans="1:11" ht="14.45" hidden="1" customHeight="1" outlineLevel="1">
      <c r="A98" s="4"/>
      <c r="B98" s="4"/>
      <c r="C98" s="7"/>
      <c r="D98" s="107" t="s">
        <v>1626</v>
      </c>
      <c r="E98" s="244" t="s">
        <v>1627</v>
      </c>
      <c r="F98" s="7"/>
      <c r="G98" s="7"/>
      <c r="H98" s="7"/>
      <c r="I98" s="7"/>
      <c r="J98" s="7"/>
      <c r="K98" s="4"/>
    </row>
    <row r="99" spans="1:11" ht="14.45" hidden="1" customHeight="1" outlineLevel="1">
      <c r="A99" s="4"/>
      <c r="B99" s="4"/>
      <c r="C99" s="7"/>
      <c r="D99" s="107" t="s">
        <v>1628</v>
      </c>
      <c r="E99" s="244" t="s">
        <v>1629</v>
      </c>
      <c r="F99" s="7"/>
      <c r="G99" s="7"/>
      <c r="H99" s="7"/>
      <c r="I99" s="7"/>
      <c r="J99" s="7"/>
      <c r="K99" s="4"/>
    </row>
    <row r="100" spans="1:11" ht="14.45" hidden="1" customHeight="1" outlineLevel="1">
      <c r="A100" s="4"/>
      <c r="B100" s="4"/>
      <c r="C100" s="7"/>
      <c r="D100" s="346" t="s">
        <v>1630</v>
      </c>
      <c r="E100" s="241"/>
      <c r="F100" s="7"/>
      <c r="G100" s="7"/>
      <c r="H100" s="7"/>
      <c r="I100" s="7"/>
      <c r="J100" s="7"/>
      <c r="K100" s="4"/>
    </row>
    <row r="101" spans="1:11" ht="14.45" hidden="1" customHeight="1" outlineLevel="1">
      <c r="A101" s="4"/>
      <c r="B101" s="4"/>
      <c r="C101" s="7"/>
      <c r="D101" s="346" t="s">
        <v>1631</v>
      </c>
      <c r="E101" s="241"/>
      <c r="F101" s="7"/>
      <c r="G101" s="7"/>
      <c r="H101" s="7"/>
      <c r="I101" s="7"/>
      <c r="J101" s="7"/>
      <c r="K101" s="4"/>
    </row>
    <row r="102" spans="1:11" ht="14.45" hidden="1" customHeight="1" outlineLevel="1">
      <c r="A102" s="4"/>
      <c r="B102" s="4"/>
      <c r="C102" s="7"/>
      <c r="D102" s="346" t="s">
        <v>1632</v>
      </c>
      <c r="E102" s="241"/>
      <c r="F102" s="7"/>
      <c r="G102" s="7"/>
      <c r="H102" s="7"/>
      <c r="I102" s="7"/>
      <c r="J102" s="7"/>
      <c r="K102" s="4"/>
    </row>
    <row r="103" spans="1:11" ht="14.45" hidden="1" customHeight="1" outlineLevel="1">
      <c r="A103" s="4"/>
      <c r="B103" s="4"/>
      <c r="C103" s="7"/>
      <c r="D103" s="346" t="s">
        <v>1633</v>
      </c>
      <c r="E103" s="241"/>
      <c r="F103" s="7"/>
      <c r="G103" s="7"/>
      <c r="H103" s="7"/>
      <c r="I103" s="7"/>
      <c r="J103" s="7"/>
      <c r="K103" s="4"/>
    </row>
    <row r="104" spans="1:11" ht="14.45" hidden="1" customHeight="1" outlineLevel="1">
      <c r="A104" s="4"/>
      <c r="B104" s="4"/>
      <c r="C104" s="7"/>
      <c r="D104" s="7"/>
      <c r="E104" s="7"/>
      <c r="F104" s="7"/>
      <c r="G104" s="7"/>
      <c r="H104" s="7"/>
      <c r="I104" s="7"/>
      <c r="J104" s="7"/>
      <c r="K104" s="4"/>
    </row>
    <row r="105" spans="1:11" ht="14.45" hidden="1" customHeight="1" outlineLevel="1">
      <c r="A105" s="4"/>
      <c r="B105" s="4"/>
      <c r="C105" s="4"/>
      <c r="D105" s="4"/>
      <c r="E105" s="4"/>
      <c r="F105" s="4"/>
      <c r="G105" s="4"/>
      <c r="H105" s="4"/>
      <c r="I105" s="4"/>
      <c r="J105" s="4"/>
      <c r="K105" s="4"/>
    </row>
    <row r="106" spans="1:11" ht="14.45" customHeight="1" collapsed="1">
      <c r="A106" s="4"/>
      <c r="B106" s="4"/>
      <c r="C106" s="68" t="s">
        <v>1635</v>
      </c>
      <c r="D106" s="4"/>
      <c r="E106" s="4"/>
      <c r="F106" s="4"/>
      <c r="G106" s="4"/>
      <c r="H106" s="4"/>
      <c r="I106" s="4"/>
      <c r="J106" s="4"/>
      <c r="K106" s="4"/>
    </row>
    <row r="107" spans="1:11" ht="14.45" hidden="1" customHeight="1" outlineLevel="1">
      <c r="A107" s="4"/>
      <c r="B107" s="4"/>
      <c r="C107" s="4"/>
      <c r="D107" s="4"/>
      <c r="E107" s="4"/>
      <c r="F107" s="4"/>
      <c r="G107" s="4"/>
      <c r="H107" s="4"/>
      <c r="I107" s="4"/>
      <c r="J107" s="4"/>
      <c r="K107" s="4"/>
    </row>
    <row r="108" spans="1:11" ht="14.45" hidden="1" customHeight="1" outlineLevel="1">
      <c r="A108" s="4"/>
      <c r="B108" s="4"/>
      <c r="C108" s="7"/>
      <c r="D108" s="7"/>
      <c r="E108" s="7"/>
      <c r="F108" s="7"/>
      <c r="G108" s="7"/>
      <c r="H108" s="7"/>
      <c r="I108" s="7"/>
      <c r="J108" s="7"/>
      <c r="K108" s="4"/>
    </row>
    <row r="109" spans="1:11" ht="14.45" hidden="1" customHeight="1" outlineLevel="1">
      <c r="A109" s="4"/>
      <c r="B109" s="4"/>
      <c r="C109" s="7"/>
      <c r="D109" s="107" t="s">
        <v>1617</v>
      </c>
      <c r="E109" s="244"/>
      <c r="F109" s="7"/>
      <c r="G109" s="7"/>
      <c r="H109" s="7"/>
      <c r="I109" s="7"/>
      <c r="J109" s="7"/>
      <c r="K109" s="4"/>
    </row>
    <row r="110" spans="1:11" ht="14.45" hidden="1" customHeight="1" outlineLevel="1">
      <c r="A110" s="4"/>
      <c r="B110" s="4"/>
      <c r="C110" s="7"/>
      <c r="D110" s="107" t="s">
        <v>1618</v>
      </c>
      <c r="E110" s="244"/>
      <c r="F110" s="7"/>
      <c r="G110" s="7"/>
      <c r="H110" s="7"/>
      <c r="I110" s="7"/>
      <c r="J110" s="7"/>
      <c r="K110" s="4"/>
    </row>
    <row r="111" spans="1:11" ht="14.45" hidden="1" customHeight="1" outlineLevel="1">
      <c r="A111" s="4"/>
      <c r="B111" s="4"/>
      <c r="C111" s="7"/>
      <c r="D111" s="107" t="s">
        <v>1619</v>
      </c>
      <c r="E111" s="244"/>
      <c r="F111" s="7"/>
      <c r="G111" s="7"/>
      <c r="H111" s="7"/>
      <c r="I111" s="7"/>
      <c r="J111" s="7"/>
      <c r="K111" s="4"/>
    </row>
    <row r="112" spans="1:11" ht="14.45" hidden="1" customHeight="1" outlineLevel="1">
      <c r="A112" s="4"/>
      <c r="B112" s="4"/>
      <c r="C112" s="7"/>
      <c r="D112" s="107" t="s">
        <v>1620</v>
      </c>
      <c r="E112" s="244"/>
      <c r="F112" s="7"/>
      <c r="G112" s="7"/>
      <c r="H112" s="7"/>
      <c r="I112" s="7"/>
      <c r="J112" s="7"/>
      <c r="K112" s="4"/>
    </row>
    <row r="113" spans="1:11" ht="14.45" hidden="1" customHeight="1" outlineLevel="1">
      <c r="A113" s="4"/>
      <c r="B113" s="4"/>
      <c r="C113" s="7"/>
      <c r="D113" s="107" t="s">
        <v>1621</v>
      </c>
      <c r="E113" s="244"/>
      <c r="F113" s="7"/>
      <c r="G113" s="7"/>
      <c r="H113" s="7"/>
      <c r="I113" s="7"/>
      <c r="J113" s="7"/>
      <c r="K113" s="4"/>
    </row>
    <row r="114" spans="1:11" ht="14.45" hidden="1" customHeight="1" outlineLevel="1">
      <c r="A114" s="4"/>
      <c r="B114" s="4"/>
      <c r="C114" s="7"/>
      <c r="D114" s="107" t="s">
        <v>1622</v>
      </c>
      <c r="E114" s="244"/>
      <c r="F114" s="7"/>
      <c r="G114" s="7"/>
      <c r="H114" s="7"/>
      <c r="I114" s="7"/>
      <c r="J114" s="7"/>
      <c r="K114" s="4"/>
    </row>
    <row r="115" spans="1:11" ht="14.45" hidden="1" customHeight="1" outlineLevel="1">
      <c r="A115" s="4"/>
      <c r="B115" s="4"/>
      <c r="C115" s="7"/>
      <c r="D115" s="4" t="s">
        <v>1623</v>
      </c>
      <c r="E115" s="244"/>
      <c r="F115" s="7"/>
      <c r="G115" s="7"/>
      <c r="H115" s="7"/>
      <c r="I115" s="7"/>
      <c r="J115" s="7"/>
      <c r="K115" s="4"/>
    </row>
    <row r="116" spans="1:11" ht="14.45" hidden="1" customHeight="1" outlineLevel="1">
      <c r="A116" s="4"/>
      <c r="B116" s="4"/>
      <c r="C116" s="7"/>
      <c r="D116" s="4" t="s">
        <v>1624</v>
      </c>
      <c r="E116" s="244"/>
      <c r="F116" s="7"/>
      <c r="G116" s="7"/>
      <c r="H116" s="7"/>
      <c r="I116" s="7"/>
      <c r="J116" s="7"/>
      <c r="K116" s="4"/>
    </row>
    <row r="117" spans="1:11" ht="14.45" hidden="1" customHeight="1" outlineLevel="1">
      <c r="A117" s="4"/>
      <c r="B117" s="4"/>
      <c r="C117" s="7"/>
      <c r="D117" s="4" t="s">
        <v>1625</v>
      </c>
      <c r="E117" s="244"/>
      <c r="F117" s="7"/>
      <c r="G117" s="7"/>
      <c r="H117" s="7"/>
      <c r="I117" s="7"/>
      <c r="J117" s="7"/>
      <c r="K117" s="4"/>
    </row>
    <row r="118" spans="1:11" ht="14.45" hidden="1" customHeight="1" outlineLevel="1">
      <c r="A118" s="4"/>
      <c r="B118" s="4"/>
      <c r="C118" s="7"/>
      <c r="D118" s="107" t="s">
        <v>1626</v>
      </c>
      <c r="E118" s="244" t="s">
        <v>1627</v>
      </c>
      <c r="F118" s="7"/>
      <c r="G118" s="7"/>
      <c r="H118" s="7"/>
      <c r="I118" s="7"/>
      <c r="J118" s="7"/>
      <c r="K118" s="4"/>
    </row>
    <row r="119" spans="1:11" ht="14.45" hidden="1" customHeight="1" outlineLevel="1">
      <c r="A119" s="4"/>
      <c r="B119" s="4"/>
      <c r="C119" s="7"/>
      <c r="D119" s="107" t="s">
        <v>1628</v>
      </c>
      <c r="E119" s="244" t="s">
        <v>1629</v>
      </c>
      <c r="F119" s="7"/>
      <c r="G119" s="7"/>
      <c r="H119" s="7"/>
      <c r="I119" s="7"/>
      <c r="J119" s="7"/>
      <c r="K119" s="4"/>
    </row>
    <row r="120" spans="1:11" ht="14.45" hidden="1" customHeight="1" outlineLevel="1">
      <c r="A120" s="4"/>
      <c r="B120" s="4"/>
      <c r="C120" s="7"/>
      <c r="D120" s="346" t="s">
        <v>1630</v>
      </c>
      <c r="E120" s="241"/>
      <c r="F120" s="7"/>
      <c r="G120" s="7"/>
      <c r="H120" s="7"/>
      <c r="I120" s="7"/>
      <c r="J120" s="7"/>
      <c r="K120" s="4"/>
    </row>
    <row r="121" spans="1:11" ht="14.45" hidden="1" customHeight="1" outlineLevel="1">
      <c r="A121" s="4"/>
      <c r="B121" s="4"/>
      <c r="C121" s="7"/>
      <c r="D121" s="346" t="s">
        <v>1631</v>
      </c>
      <c r="E121" s="241"/>
      <c r="F121" s="7"/>
      <c r="G121" s="7"/>
      <c r="H121" s="7"/>
      <c r="I121" s="7"/>
      <c r="J121" s="7"/>
      <c r="K121" s="4"/>
    </row>
    <row r="122" spans="1:11" ht="14.45" hidden="1" customHeight="1" outlineLevel="1">
      <c r="A122" s="4"/>
      <c r="B122" s="4"/>
      <c r="C122" s="7"/>
      <c r="D122" s="346" t="s">
        <v>1632</v>
      </c>
      <c r="E122" s="241"/>
      <c r="F122" s="7"/>
      <c r="G122" s="7"/>
      <c r="H122" s="7"/>
      <c r="I122" s="7"/>
      <c r="J122" s="7"/>
      <c r="K122" s="4"/>
    </row>
    <row r="123" spans="1:11" ht="14.45" hidden="1" customHeight="1" outlineLevel="1">
      <c r="A123" s="4"/>
      <c r="B123" s="4"/>
      <c r="C123" s="7"/>
      <c r="D123" s="346" t="s">
        <v>1633</v>
      </c>
      <c r="E123" s="241"/>
      <c r="F123" s="7"/>
      <c r="G123" s="7"/>
      <c r="H123" s="7"/>
      <c r="I123" s="7"/>
      <c r="J123" s="7"/>
      <c r="K123" s="4"/>
    </row>
    <row r="124" spans="1:11" ht="14.45" hidden="1" customHeight="1" outlineLevel="1">
      <c r="A124" s="4"/>
      <c r="B124" s="4"/>
      <c r="C124" s="7"/>
      <c r="D124" s="7"/>
      <c r="E124" s="7"/>
      <c r="F124" s="7"/>
      <c r="G124" s="7"/>
      <c r="H124" s="7"/>
      <c r="I124" s="7"/>
      <c r="J124" s="7"/>
      <c r="K124" s="4"/>
    </row>
    <row r="125" spans="1:11" ht="14.45" hidden="1" customHeight="1" outlineLevel="1">
      <c r="A125" s="4"/>
      <c r="B125" s="4"/>
      <c r="C125" s="4"/>
      <c r="D125" s="4"/>
      <c r="E125" s="4"/>
      <c r="F125" s="4"/>
      <c r="G125" s="4"/>
      <c r="H125" s="4"/>
      <c r="I125" s="4"/>
      <c r="J125" s="4"/>
      <c r="K125" s="4"/>
    </row>
    <row r="126" spans="1:11" ht="14.45" customHeight="1" collapsed="1">
      <c r="A126" s="4"/>
      <c r="B126" s="4"/>
      <c r="C126" s="68" t="s">
        <v>1636</v>
      </c>
      <c r="D126" s="4"/>
      <c r="E126" s="4"/>
      <c r="F126" s="4"/>
      <c r="G126" s="4"/>
      <c r="H126" s="4"/>
      <c r="I126" s="4"/>
      <c r="J126" s="4"/>
      <c r="K126" s="4"/>
    </row>
    <row r="127" spans="1:11" ht="14.45" hidden="1" customHeight="1" outlineLevel="1">
      <c r="A127" s="4"/>
      <c r="B127" s="4"/>
      <c r="C127" s="4"/>
      <c r="D127" s="4"/>
      <c r="E127" s="4"/>
      <c r="F127" s="4"/>
      <c r="G127" s="4"/>
      <c r="H127" s="4"/>
      <c r="I127" s="4"/>
      <c r="J127" s="4"/>
      <c r="K127" s="4"/>
    </row>
    <row r="128" spans="1:11" ht="14.45" hidden="1" customHeight="1" outlineLevel="1">
      <c r="A128" s="4"/>
      <c r="B128" s="4"/>
      <c r="C128" s="7"/>
      <c r="D128" s="7"/>
      <c r="E128" s="7"/>
      <c r="F128" s="7"/>
      <c r="G128" s="7"/>
      <c r="H128" s="7"/>
      <c r="I128" s="7"/>
      <c r="J128" s="7"/>
      <c r="K128" s="4"/>
    </row>
    <row r="129" spans="1:11" ht="14.45" hidden="1" customHeight="1" outlineLevel="1">
      <c r="A129" s="4"/>
      <c r="B129" s="4"/>
      <c r="C129" s="7"/>
      <c r="D129" s="107" t="s">
        <v>1617</v>
      </c>
      <c r="E129" s="244"/>
      <c r="F129" s="7"/>
      <c r="G129" s="7"/>
      <c r="H129" s="7"/>
      <c r="I129" s="7"/>
      <c r="J129" s="7"/>
      <c r="K129" s="4"/>
    </row>
    <row r="130" spans="1:11" ht="14.45" hidden="1" customHeight="1" outlineLevel="1">
      <c r="A130" s="4"/>
      <c r="B130" s="4"/>
      <c r="C130" s="7"/>
      <c r="D130" s="107" t="s">
        <v>1618</v>
      </c>
      <c r="E130" s="244"/>
      <c r="F130" s="7"/>
      <c r="G130" s="7"/>
      <c r="H130" s="7"/>
      <c r="I130" s="7"/>
      <c r="J130" s="7"/>
      <c r="K130" s="4"/>
    </row>
    <row r="131" spans="1:11" ht="14.45" hidden="1" customHeight="1" outlineLevel="1">
      <c r="A131" s="4"/>
      <c r="B131" s="4"/>
      <c r="C131" s="7"/>
      <c r="D131" s="107" t="s">
        <v>1619</v>
      </c>
      <c r="E131" s="244"/>
      <c r="F131" s="7"/>
      <c r="G131" s="7"/>
      <c r="H131" s="7"/>
      <c r="I131" s="7"/>
      <c r="J131" s="7"/>
      <c r="K131" s="4"/>
    </row>
    <row r="132" spans="1:11" ht="14.45" hidden="1" customHeight="1" outlineLevel="1">
      <c r="A132" s="4"/>
      <c r="B132" s="4"/>
      <c r="C132" s="7"/>
      <c r="D132" s="107" t="s">
        <v>1620</v>
      </c>
      <c r="E132" s="244"/>
      <c r="F132" s="7"/>
      <c r="G132" s="7"/>
      <c r="H132" s="7"/>
      <c r="I132" s="7"/>
      <c r="J132" s="7"/>
      <c r="K132" s="4"/>
    </row>
    <row r="133" spans="1:11" ht="14.45" hidden="1" customHeight="1" outlineLevel="1">
      <c r="A133" s="4"/>
      <c r="B133" s="4"/>
      <c r="C133" s="7"/>
      <c r="D133" s="107" t="s">
        <v>1621</v>
      </c>
      <c r="E133" s="244"/>
      <c r="F133" s="7"/>
      <c r="G133" s="7"/>
      <c r="H133" s="7"/>
      <c r="I133" s="7"/>
      <c r="J133" s="7"/>
      <c r="K133" s="4"/>
    </row>
    <row r="134" spans="1:11" ht="14.45" hidden="1" customHeight="1" outlineLevel="1">
      <c r="A134" s="4"/>
      <c r="B134" s="4"/>
      <c r="C134" s="7"/>
      <c r="D134" s="107" t="s">
        <v>1622</v>
      </c>
      <c r="E134" s="244"/>
      <c r="F134" s="7"/>
      <c r="G134" s="7"/>
      <c r="H134" s="7"/>
      <c r="I134" s="7"/>
      <c r="J134" s="7"/>
      <c r="K134" s="4"/>
    </row>
    <row r="135" spans="1:11" ht="14.45" hidden="1" customHeight="1" outlineLevel="1">
      <c r="A135" s="4"/>
      <c r="B135" s="4"/>
      <c r="C135" s="7"/>
      <c r="D135" s="4" t="s">
        <v>1623</v>
      </c>
      <c r="E135" s="244"/>
      <c r="F135" s="7"/>
      <c r="G135" s="7"/>
      <c r="H135" s="7"/>
      <c r="I135" s="7"/>
      <c r="J135" s="7"/>
      <c r="K135" s="4"/>
    </row>
    <row r="136" spans="1:11" ht="14.45" hidden="1" customHeight="1" outlineLevel="1">
      <c r="A136" s="4"/>
      <c r="B136" s="4"/>
      <c r="C136" s="7"/>
      <c r="D136" s="4" t="s">
        <v>1624</v>
      </c>
      <c r="E136" s="244"/>
      <c r="F136" s="7"/>
      <c r="G136" s="7"/>
      <c r="H136" s="7"/>
      <c r="I136" s="7"/>
      <c r="J136" s="7"/>
      <c r="K136" s="4"/>
    </row>
    <row r="137" spans="1:11" ht="14.45" hidden="1" customHeight="1" outlineLevel="1">
      <c r="A137" s="4"/>
      <c r="B137" s="4"/>
      <c r="C137" s="7"/>
      <c r="D137" s="4" t="s">
        <v>1625</v>
      </c>
      <c r="E137" s="244"/>
      <c r="F137" s="7"/>
      <c r="G137" s="7"/>
      <c r="H137" s="7"/>
      <c r="I137" s="7"/>
      <c r="J137" s="7"/>
      <c r="K137" s="4"/>
    </row>
    <row r="138" spans="1:11" ht="14.45" hidden="1" customHeight="1" outlineLevel="1">
      <c r="A138" s="4"/>
      <c r="B138" s="4"/>
      <c r="C138" s="7"/>
      <c r="D138" s="107" t="s">
        <v>1626</v>
      </c>
      <c r="E138" s="244" t="s">
        <v>1627</v>
      </c>
      <c r="F138" s="7"/>
      <c r="G138" s="7"/>
      <c r="H138" s="7"/>
      <c r="I138" s="7"/>
      <c r="J138" s="7"/>
      <c r="K138" s="4"/>
    </row>
    <row r="139" spans="1:11" ht="14.45" hidden="1" customHeight="1" outlineLevel="1">
      <c r="A139" s="4"/>
      <c r="B139" s="4"/>
      <c r="C139" s="7"/>
      <c r="D139" s="107" t="s">
        <v>1628</v>
      </c>
      <c r="E139" s="244" t="s">
        <v>1629</v>
      </c>
      <c r="F139" s="7"/>
      <c r="G139" s="7"/>
      <c r="H139" s="7"/>
      <c r="I139" s="7"/>
      <c r="J139" s="7"/>
      <c r="K139" s="4"/>
    </row>
    <row r="140" spans="1:11" ht="14.45" hidden="1" customHeight="1" outlineLevel="1">
      <c r="A140" s="4"/>
      <c r="B140" s="4"/>
      <c r="C140" s="7"/>
      <c r="D140" s="346" t="s">
        <v>1630</v>
      </c>
      <c r="E140" s="241"/>
      <c r="F140" s="7"/>
      <c r="G140" s="7"/>
      <c r="H140" s="7"/>
      <c r="I140" s="7"/>
      <c r="J140" s="7"/>
      <c r="K140" s="4"/>
    </row>
    <row r="141" spans="1:11" ht="14.45" hidden="1" customHeight="1" outlineLevel="1">
      <c r="A141" s="4"/>
      <c r="B141" s="4"/>
      <c r="C141" s="7"/>
      <c r="D141" s="346" t="s">
        <v>1631</v>
      </c>
      <c r="E141" s="241"/>
      <c r="F141" s="7"/>
      <c r="G141" s="7"/>
      <c r="H141" s="7"/>
      <c r="I141" s="7"/>
      <c r="J141" s="7"/>
      <c r="K141" s="4"/>
    </row>
    <row r="142" spans="1:11" ht="14.45" hidden="1" customHeight="1" outlineLevel="1">
      <c r="A142" s="4"/>
      <c r="B142" s="4"/>
      <c r="C142" s="7"/>
      <c r="D142" s="346" t="s">
        <v>1632</v>
      </c>
      <c r="E142" s="241"/>
      <c r="F142" s="7"/>
      <c r="G142" s="7"/>
      <c r="H142" s="7"/>
      <c r="I142" s="7"/>
      <c r="J142" s="7"/>
      <c r="K142" s="4"/>
    </row>
    <row r="143" spans="1:11" ht="14.45" hidden="1" customHeight="1" outlineLevel="1">
      <c r="A143" s="4"/>
      <c r="B143" s="4"/>
      <c r="C143" s="7"/>
      <c r="D143" s="346" t="s">
        <v>1633</v>
      </c>
      <c r="E143" s="241"/>
      <c r="F143" s="7"/>
      <c r="G143" s="7"/>
      <c r="H143" s="7"/>
      <c r="I143" s="7"/>
      <c r="J143" s="7"/>
      <c r="K143" s="4"/>
    </row>
    <row r="144" spans="1:11" ht="14.45" hidden="1" customHeight="1" outlineLevel="1">
      <c r="A144" s="4"/>
      <c r="B144" s="4"/>
      <c r="C144" s="7"/>
      <c r="D144" s="7"/>
      <c r="E144" s="7"/>
      <c r="F144" s="7"/>
      <c r="G144" s="7"/>
      <c r="H144" s="7"/>
      <c r="I144" s="7"/>
      <c r="J144" s="7"/>
      <c r="K144" s="4"/>
    </row>
    <row r="145" spans="1:11" ht="14.45" customHeight="1" collapsed="1">
      <c r="A145" s="4"/>
      <c r="B145" s="4"/>
      <c r="C145" s="4"/>
      <c r="D145" s="4"/>
      <c r="E145" s="4"/>
      <c r="F145" s="4"/>
      <c r="G145" s="4"/>
      <c r="H145" s="4"/>
      <c r="I145" s="4"/>
      <c r="J145" s="4"/>
      <c r="K145" s="4"/>
    </row>
    <row r="146" spans="1:11" ht="14.45" customHeight="1">
      <c r="A146" s="4"/>
      <c r="B146" s="4"/>
      <c r="C146" s="102" t="s">
        <v>78</v>
      </c>
      <c r="D146" s="102"/>
      <c r="E146" s="102"/>
      <c r="F146" s="102"/>
      <c r="G146" s="102"/>
      <c r="H146" s="102"/>
      <c r="I146" s="102"/>
      <c r="J146" s="102"/>
      <c r="K146" s="102"/>
    </row>
    <row r="147" spans="1:11" ht="14.45" customHeight="1" outlineLevel="1">
      <c r="A147" s="4"/>
      <c r="B147" s="4"/>
      <c r="C147" s="4"/>
      <c r="D147" s="4"/>
      <c r="E147" s="4"/>
      <c r="F147" s="4"/>
      <c r="G147" s="4"/>
      <c r="H147" s="4"/>
      <c r="I147" s="4"/>
      <c r="J147" s="4"/>
      <c r="K147" s="4"/>
    </row>
    <row r="148" spans="1:11" ht="14.45" customHeight="1" outlineLevel="1">
      <c r="A148" s="4"/>
      <c r="B148" s="4"/>
      <c r="C148" s="169">
        <v>1</v>
      </c>
      <c r="D148" s="70" t="s">
        <v>1637</v>
      </c>
      <c r="E148" s="7"/>
      <c r="F148" s="7"/>
      <c r="G148" s="7"/>
      <c r="H148" s="7"/>
      <c r="I148" s="7"/>
      <c r="J148" s="7"/>
      <c r="K148" s="4"/>
    </row>
    <row r="149" spans="1:11" ht="14.45" customHeight="1" outlineLevel="1">
      <c r="A149" s="4"/>
      <c r="B149" s="4"/>
      <c r="C149" s="4"/>
      <c r="D149" s="4"/>
      <c r="E149" s="4"/>
      <c r="F149" s="4"/>
      <c r="G149" s="4"/>
      <c r="H149" s="4"/>
      <c r="I149" s="4"/>
      <c r="J149" s="4"/>
      <c r="K149" s="4"/>
    </row>
    <row r="150" spans="1:11" ht="14.45" customHeight="1">
      <c r="A150" s="4"/>
      <c r="B150" s="4"/>
      <c r="C150" s="4"/>
      <c r="D150" s="4"/>
      <c r="E150" s="4"/>
      <c r="F150" s="4"/>
      <c r="G150" s="4"/>
      <c r="H150" s="4"/>
      <c r="I150" s="4"/>
      <c r="J150" s="4"/>
      <c r="K150" s="4"/>
    </row>
    <row r="153" spans="1:11" hidden="1"/>
    <row r="154" spans="1:11" hidden="1"/>
    <row r="155" spans="1:11" hidden="1"/>
    <row r="156" spans="1:11" hidden="1"/>
    <row r="161" hidden="1"/>
    <row r="162" hidden="1"/>
    <row r="163" hidden="1"/>
    <row r="164" hidden="1"/>
    <row r="165" hidden="1"/>
    <row r="166" hidden="1"/>
    <row r="167" hidden="1"/>
    <row r="168" hidden="1"/>
  </sheetData>
  <mergeCells count="2">
    <mergeCell ref="C2:J2"/>
    <mergeCell ref="C3:J3"/>
  </mergeCells>
  <phoneticPr fontId="65"/>
  <hyperlinks>
    <hyperlink ref="E21" r:id="rId1" display="https://learn.microsoft.com/en-us/azure/architecture/web-apps/app-service/architectures/multi-region" xr:uid="{962F08CD-8640-46DB-9CBB-A71001C6099A}"/>
    <hyperlink ref="D148" location="'3 Response Plan'!A1" display="Refer to the response plan for the application" xr:uid="{249F4C96-A8C1-498C-8349-8C9FFD24F3C5}"/>
  </hyperlinks>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x14:cfRule type="cellIs" priority="1" operator="equal" id="{B1178DEA-A189-4B21-BF84-521739C7F102}">
            <xm:f>Data!$L$13</xm:f>
            <x14:dxf>
              <font>
                <color theme="0"/>
              </font>
              <fill>
                <patternFill>
                  <bgColor rgb="FFF25022"/>
                </patternFill>
              </fill>
            </x14:dxf>
          </x14:cfRule>
          <x14:cfRule type="cellIs" priority="2" operator="equal" id="{40ED9711-8FFB-4B26-B3CD-8FF5E59B7144}">
            <xm:f>Data!$L$12</xm:f>
            <x14:dxf>
              <font>
                <color theme="0"/>
              </font>
              <fill>
                <patternFill>
                  <bgColor rgb="FFF25022"/>
                </patternFill>
              </fill>
            </x14:dxf>
          </x14:cfRule>
          <x14:cfRule type="cellIs" priority="3" operator="equal" id="{65EA135B-A3E6-4F60-9B93-0360C3486B77}">
            <xm:f>Data!$L$11</xm:f>
            <x14:dxf>
              <font>
                <color theme="0"/>
              </font>
              <fill>
                <patternFill>
                  <bgColor rgb="FFF25022"/>
                </patternFill>
              </fill>
            </x14:dxf>
          </x14:cfRule>
          <x14:cfRule type="cellIs" priority="4" operator="equal" id="{A7BD7AEA-876F-46D7-AE20-3B97146BF7C6}">
            <xm:f>Data!$L$10</xm:f>
            <x14:dxf>
              <font>
                <color theme="0"/>
              </font>
              <fill>
                <patternFill>
                  <bgColor rgb="FFF25022"/>
                </patternFill>
              </fill>
            </x14:dxf>
          </x14:cfRule>
          <x14:cfRule type="cellIs" priority="5" operator="equal" id="{C7C230B3-2E09-4646-B92B-F94AF9A22E43}">
            <xm:f>Data!$L$6</xm:f>
            <x14:dxf>
              <font>
                <color theme="0"/>
              </font>
              <fill>
                <patternFill>
                  <bgColor rgb="FFF25022"/>
                </patternFill>
              </fill>
            </x14:dxf>
          </x14:cfRule>
          <x14:cfRule type="cellIs" priority="6" operator="equal" id="{A2FAE5FB-E958-4F2B-A2D8-A828B9CBAD67}">
            <xm:f>Data!$L$9</xm:f>
            <x14:dxf>
              <font>
                <color theme="1"/>
              </font>
              <fill>
                <patternFill>
                  <bgColor rgb="FF7FBA00"/>
                </patternFill>
              </fill>
            </x14:dxf>
          </x14:cfRule>
          <x14:cfRule type="cellIs" priority="7" operator="equal" id="{17B5620D-9051-4822-A212-50C5C57B8AEF}">
            <xm:f>Data!$L$8</xm:f>
            <x14:dxf>
              <font>
                <color theme="1"/>
              </font>
              <fill>
                <patternFill>
                  <bgColor rgb="FF00A4EF"/>
                </patternFill>
              </fill>
            </x14:dxf>
          </x14:cfRule>
          <x14:cfRule type="cellIs" priority="8" operator="equal" id="{B3D97ADB-4537-4384-B187-33137FEA41DB}">
            <xm:f>Data!$L$7</xm:f>
            <x14:dxf>
              <font>
                <color theme="1"/>
              </font>
              <fill>
                <patternFill>
                  <bgColor rgb="FFFFB900"/>
                </patternFill>
              </fill>
            </x14:dxf>
          </x14:cfRule>
          <x14:cfRule type="cellIs" priority="9" operator="equal" id="{D64EF8E7-46DA-4586-9DD7-691FBE14A070}">
            <xm:f>Data!$L$5</xm:f>
            <x14:dxf>
              <font>
                <color theme="0"/>
              </font>
              <fill>
                <patternFill>
                  <bgColor rgb="FFF25022"/>
                </patternFill>
              </fill>
            </x14:dxf>
          </x14:cfRule>
          <x14:cfRule type="cellIs" priority="10" operator="equal" id="{2C9C31CD-2700-4D30-80E7-4B35DE5D952E}">
            <xm:f>Data!$L$6+Data!$L$14</xm:f>
            <x14:dxf>
              <font>
                <color theme="0"/>
              </font>
              <fill>
                <patternFill>
                  <bgColor rgb="FF747474"/>
                </patternFill>
              </fill>
            </x14:dxf>
          </x14:cfRule>
          <xm:sqref>E14:E15</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253D45-03AA-4837-81BC-82715A5384F9}">
  <dimension ref="A1:J49"/>
  <sheetViews>
    <sheetView showGridLines="0" showRowColHeaders="0" zoomScaleNormal="100" workbookViewId="0">
      <selection activeCell="A6" sqref="A6"/>
    </sheetView>
  </sheetViews>
  <sheetFormatPr defaultColWidth="0" defaultRowHeight="14.45" zeroHeight="1"/>
  <cols>
    <col min="1" max="2" width="5.85546875" customWidth="1"/>
    <col min="3" max="3" width="42.85546875" bestFit="1" customWidth="1"/>
    <col min="4" max="4" width="14.140625" bestFit="1" customWidth="1"/>
    <col min="5" max="5" width="229.140625" customWidth="1"/>
    <col min="6" max="6" width="3.85546875" customWidth="1"/>
    <col min="7" max="7" width="23.42578125" hidden="1" customWidth="1"/>
    <col min="8" max="8" width="111.85546875" hidden="1" customWidth="1"/>
    <col min="9" max="10" width="105.85546875" hidden="1" customWidth="1"/>
    <col min="11" max="16384" width="8.85546875" hidden="1"/>
  </cols>
  <sheetData>
    <row r="1" spans="1:6">
      <c r="A1" s="4"/>
      <c r="B1" s="4"/>
      <c r="C1" s="8"/>
      <c r="D1" s="8"/>
      <c r="E1" s="4"/>
      <c r="F1" s="4"/>
    </row>
    <row r="2" spans="1:6" ht="21">
      <c r="A2" s="4"/>
      <c r="B2" s="4"/>
      <c r="C2" s="618" t="s">
        <v>81</v>
      </c>
      <c r="D2" s="618"/>
      <c r="E2" s="618"/>
      <c r="F2" s="9"/>
    </row>
    <row r="3" spans="1:6">
      <c r="A3" s="4"/>
      <c r="B3" s="4"/>
      <c r="C3" s="8"/>
      <c r="D3" s="8"/>
      <c r="E3" s="4"/>
      <c r="F3" s="4"/>
    </row>
    <row r="4" spans="1:6">
      <c r="A4" s="4"/>
      <c r="B4" s="4"/>
      <c r="C4" s="18" t="s">
        <v>112</v>
      </c>
      <c r="D4" s="18" t="s">
        <v>113</v>
      </c>
      <c r="E4" s="16" t="s">
        <v>114</v>
      </c>
      <c r="F4" s="4"/>
    </row>
    <row r="5" spans="1:6">
      <c r="A5" s="4"/>
      <c r="B5" s="4"/>
      <c r="C5" s="18" t="s">
        <v>115</v>
      </c>
      <c r="D5" s="18"/>
      <c r="E5" s="18" t="s">
        <v>116</v>
      </c>
      <c r="F5" s="4"/>
    </row>
    <row r="6" spans="1:6">
      <c r="A6" s="4"/>
      <c r="B6" s="4"/>
      <c r="C6" s="18" t="s">
        <v>117</v>
      </c>
      <c r="D6" s="18"/>
      <c r="E6" s="18" t="s">
        <v>118</v>
      </c>
      <c r="F6" s="4"/>
    </row>
    <row r="7" spans="1:6" ht="29.1">
      <c r="A7" s="4"/>
      <c r="B7" s="4"/>
      <c r="C7" s="18" t="s">
        <v>119</v>
      </c>
      <c r="D7" s="18"/>
      <c r="E7" s="18" t="s">
        <v>120</v>
      </c>
      <c r="F7" s="4"/>
    </row>
    <row r="8" spans="1:6" ht="29.1">
      <c r="A8" s="4"/>
      <c r="B8" s="4"/>
      <c r="C8" s="84" t="s">
        <v>121</v>
      </c>
      <c r="D8" s="18"/>
      <c r="E8" s="18" t="s">
        <v>122</v>
      </c>
      <c r="F8" s="4"/>
    </row>
    <row r="9" spans="1:6" ht="29.1">
      <c r="A9" s="4"/>
      <c r="B9" s="4"/>
      <c r="C9" s="84" t="s">
        <v>123</v>
      </c>
      <c r="D9" s="18"/>
      <c r="E9" s="18" t="s">
        <v>124</v>
      </c>
      <c r="F9" s="4"/>
    </row>
    <row r="10" spans="1:6">
      <c r="A10" s="4"/>
      <c r="B10" s="4"/>
      <c r="C10" s="84" t="s">
        <v>125</v>
      </c>
      <c r="D10" s="18"/>
      <c r="E10" s="18" t="s">
        <v>126</v>
      </c>
      <c r="F10" s="4"/>
    </row>
    <row r="11" spans="1:6">
      <c r="A11" s="4"/>
      <c r="B11" s="4"/>
      <c r="C11" s="84" t="s">
        <v>127</v>
      </c>
      <c r="D11" s="18"/>
      <c r="E11" s="18" t="s">
        <v>128</v>
      </c>
      <c r="F11" s="4"/>
    </row>
    <row r="12" spans="1:6" ht="57.95">
      <c r="A12" s="4"/>
      <c r="B12" s="4"/>
      <c r="C12" s="15" t="s">
        <v>129</v>
      </c>
      <c r="D12" s="270"/>
      <c r="E12" s="18" t="s">
        <v>130</v>
      </c>
      <c r="F12" s="4"/>
    </row>
    <row r="13" spans="1:6">
      <c r="A13" s="4"/>
      <c r="B13" s="4"/>
      <c r="C13" s="18" t="s">
        <v>131</v>
      </c>
      <c r="D13" s="18"/>
      <c r="E13" s="18" t="s">
        <v>132</v>
      </c>
      <c r="F13" s="4"/>
    </row>
    <row r="14" spans="1:6">
      <c r="A14" s="4"/>
      <c r="B14" s="4"/>
      <c r="C14" s="18" t="s">
        <v>133</v>
      </c>
      <c r="D14" s="18" t="s">
        <v>134</v>
      </c>
      <c r="E14" s="18" t="s">
        <v>135</v>
      </c>
      <c r="F14" s="4"/>
    </row>
    <row r="15" spans="1:6">
      <c r="A15" s="4"/>
      <c r="B15" s="4"/>
      <c r="C15" s="18" t="s">
        <v>136</v>
      </c>
      <c r="D15" s="18" t="s">
        <v>36</v>
      </c>
      <c r="E15" s="18" t="s">
        <v>137</v>
      </c>
      <c r="F15" s="4"/>
    </row>
    <row r="16" spans="1:6">
      <c r="A16" s="4"/>
      <c r="B16" s="4"/>
      <c r="C16" s="18" t="s">
        <v>138</v>
      </c>
      <c r="D16" s="18"/>
      <c r="E16" s="18" t="s">
        <v>139</v>
      </c>
      <c r="F16" s="4"/>
    </row>
    <row r="17" spans="1:6">
      <c r="A17" s="4"/>
      <c r="B17" s="4"/>
      <c r="C17" s="18" t="s">
        <v>140</v>
      </c>
      <c r="D17" s="18" t="s">
        <v>141</v>
      </c>
      <c r="E17" s="18" t="s">
        <v>142</v>
      </c>
      <c r="F17" s="4"/>
    </row>
    <row r="18" spans="1:6">
      <c r="A18" s="4"/>
      <c r="B18" s="4"/>
      <c r="C18" s="3" t="s">
        <v>143</v>
      </c>
      <c r="D18" s="268"/>
      <c r="E18" s="18" t="s">
        <v>144</v>
      </c>
      <c r="F18" s="4"/>
    </row>
    <row r="19" spans="1:6" ht="43.5">
      <c r="A19" s="4"/>
      <c r="B19" s="4"/>
      <c r="C19" s="18" t="s">
        <v>145</v>
      </c>
      <c r="D19" s="18"/>
      <c r="E19" s="18" t="s">
        <v>146</v>
      </c>
      <c r="F19" s="4"/>
    </row>
    <row r="20" spans="1:6" ht="29.1">
      <c r="A20" s="4"/>
      <c r="B20" s="4"/>
      <c r="C20" s="18" t="s">
        <v>147</v>
      </c>
      <c r="D20" s="18"/>
      <c r="E20" s="18" t="s">
        <v>148</v>
      </c>
      <c r="F20" s="4"/>
    </row>
    <row r="21" spans="1:6">
      <c r="A21" s="4"/>
      <c r="B21" s="4"/>
      <c r="C21" s="18" t="s">
        <v>149</v>
      </c>
      <c r="D21" s="18"/>
      <c r="E21" s="18" t="s">
        <v>150</v>
      </c>
      <c r="F21" s="4"/>
    </row>
    <row r="22" spans="1:6" ht="29.1">
      <c r="A22" s="4"/>
      <c r="B22" s="4"/>
      <c r="C22" s="18" t="s">
        <v>151</v>
      </c>
      <c r="D22" s="18"/>
      <c r="E22" s="18" t="s">
        <v>152</v>
      </c>
      <c r="F22" s="4"/>
    </row>
    <row r="23" spans="1:6">
      <c r="A23" s="4"/>
      <c r="B23" s="4"/>
      <c r="C23" s="18" t="s">
        <v>153</v>
      </c>
      <c r="D23" s="18"/>
      <c r="E23" s="18" t="s">
        <v>154</v>
      </c>
      <c r="F23" s="4"/>
    </row>
    <row r="24" spans="1:6">
      <c r="A24" s="4"/>
      <c r="B24" s="4"/>
      <c r="C24" s="18" t="s">
        <v>155</v>
      </c>
      <c r="D24" s="18"/>
      <c r="E24" s="18" t="s">
        <v>156</v>
      </c>
      <c r="F24" s="4"/>
    </row>
    <row r="25" spans="1:6">
      <c r="A25" s="4"/>
      <c r="B25" s="4"/>
      <c r="C25" s="18" t="s">
        <v>157</v>
      </c>
      <c r="D25" s="18" t="s">
        <v>158</v>
      </c>
      <c r="E25" s="18" t="s">
        <v>159</v>
      </c>
      <c r="F25" s="4"/>
    </row>
    <row r="26" spans="1:6" ht="29.1">
      <c r="A26" s="4"/>
      <c r="B26" s="4"/>
      <c r="C26" s="18" t="s">
        <v>160</v>
      </c>
      <c r="D26" s="18" t="s">
        <v>161</v>
      </c>
      <c r="E26" s="18" t="s">
        <v>162</v>
      </c>
      <c r="F26" s="4"/>
    </row>
    <row r="27" spans="1:6" ht="29.1">
      <c r="A27" s="4"/>
      <c r="B27" s="4"/>
      <c r="C27" s="18" t="s">
        <v>163</v>
      </c>
      <c r="D27" s="18"/>
      <c r="E27" s="18" t="s">
        <v>164</v>
      </c>
      <c r="F27" s="4"/>
    </row>
    <row r="28" spans="1:6" ht="29.1">
      <c r="A28" s="4"/>
      <c r="B28" s="4"/>
      <c r="C28" s="18" t="s">
        <v>165</v>
      </c>
      <c r="D28" s="18"/>
      <c r="E28" s="18" t="s">
        <v>166</v>
      </c>
      <c r="F28" s="4"/>
    </row>
    <row r="29" spans="1:6" ht="29.1">
      <c r="A29" s="4"/>
      <c r="B29" s="4"/>
      <c r="C29" s="18" t="s">
        <v>167</v>
      </c>
      <c r="D29" s="18"/>
      <c r="E29" s="18" t="s">
        <v>168</v>
      </c>
      <c r="F29" s="4"/>
    </row>
    <row r="30" spans="1:6">
      <c r="A30" s="4"/>
      <c r="B30" s="4"/>
      <c r="C30" s="18" t="s">
        <v>169</v>
      </c>
      <c r="D30" s="18" t="s">
        <v>170</v>
      </c>
      <c r="E30" s="18" t="s">
        <v>171</v>
      </c>
      <c r="F30" s="4"/>
    </row>
    <row r="31" spans="1:6">
      <c r="A31" s="4"/>
      <c r="B31" s="4"/>
      <c r="C31" s="18" t="s">
        <v>172</v>
      </c>
      <c r="D31" s="18" t="s">
        <v>173</v>
      </c>
      <c r="E31" s="18" t="s">
        <v>174</v>
      </c>
      <c r="F31" s="4"/>
    </row>
    <row r="32" spans="1:6">
      <c r="A32" s="4"/>
      <c r="B32" s="4"/>
      <c r="C32" s="18" t="s">
        <v>175</v>
      </c>
      <c r="D32" s="18" t="s">
        <v>176</v>
      </c>
      <c r="E32" s="18" t="s">
        <v>177</v>
      </c>
      <c r="F32" s="4"/>
    </row>
    <row r="33" spans="1:6" ht="29.1">
      <c r="A33" s="4"/>
      <c r="B33" s="4"/>
      <c r="C33" s="3" t="s">
        <v>178</v>
      </c>
      <c r="D33" s="18" t="s">
        <v>179</v>
      </c>
      <c r="E33" s="18" t="s">
        <v>180</v>
      </c>
      <c r="F33" s="4"/>
    </row>
    <row r="34" spans="1:6" ht="29.1">
      <c r="A34" s="4"/>
      <c r="B34" s="4"/>
      <c r="C34" s="18" t="s">
        <v>181</v>
      </c>
      <c r="D34" s="18" t="s">
        <v>182</v>
      </c>
      <c r="E34" s="18" t="s">
        <v>183</v>
      </c>
      <c r="F34" s="4"/>
    </row>
    <row r="35" spans="1:6" ht="29.1">
      <c r="A35" s="4"/>
      <c r="B35" s="4"/>
      <c r="C35" s="3" t="s">
        <v>28</v>
      </c>
      <c r="D35" s="18"/>
      <c r="E35" s="18" t="s">
        <v>184</v>
      </c>
      <c r="F35" s="4"/>
    </row>
    <row r="36" spans="1:6">
      <c r="A36" s="4"/>
      <c r="B36" s="4"/>
      <c r="C36" s="18" t="s">
        <v>185</v>
      </c>
      <c r="D36" s="18"/>
      <c r="E36" s="18" t="s">
        <v>186</v>
      </c>
      <c r="F36" s="4"/>
    </row>
    <row r="37" spans="1:6">
      <c r="A37" s="4"/>
      <c r="B37" s="4"/>
      <c r="C37" s="18" t="s">
        <v>187</v>
      </c>
      <c r="D37" s="18" t="s">
        <v>188</v>
      </c>
      <c r="E37" s="18" t="s">
        <v>189</v>
      </c>
      <c r="F37" s="4"/>
    </row>
    <row r="38" spans="1:6">
      <c r="A38" s="4"/>
      <c r="B38" s="4"/>
      <c r="C38" s="18" t="s">
        <v>190</v>
      </c>
      <c r="D38" s="18" t="s">
        <v>191</v>
      </c>
      <c r="E38" s="18" t="s">
        <v>192</v>
      </c>
      <c r="F38" s="4"/>
    </row>
    <row r="39" spans="1:6">
      <c r="A39" s="4"/>
      <c r="B39" s="4"/>
      <c r="C39" s="18" t="s">
        <v>193</v>
      </c>
      <c r="D39" s="18" t="s">
        <v>194</v>
      </c>
      <c r="E39" s="18" t="s">
        <v>195</v>
      </c>
      <c r="F39" s="4"/>
    </row>
    <row r="40" spans="1:6">
      <c r="A40" s="4"/>
      <c r="B40" s="4"/>
      <c r="C40" s="18" t="s">
        <v>196</v>
      </c>
      <c r="D40" s="18" t="s">
        <v>197</v>
      </c>
      <c r="E40" s="18" t="s">
        <v>198</v>
      </c>
      <c r="F40" s="4"/>
    </row>
    <row r="41" spans="1:6">
      <c r="A41" s="4"/>
      <c r="B41" s="4"/>
      <c r="C41" s="18" t="s">
        <v>199</v>
      </c>
      <c r="D41" s="18"/>
      <c r="E41" s="18" t="s">
        <v>200</v>
      </c>
      <c r="F41" s="4"/>
    </row>
    <row r="42" spans="1:6">
      <c r="A42" s="4"/>
      <c r="B42" s="4"/>
      <c r="C42" s="18" t="s">
        <v>201</v>
      </c>
      <c r="D42" s="18"/>
      <c r="E42" s="18" t="s">
        <v>202</v>
      </c>
      <c r="F42" s="4"/>
    </row>
    <row r="43" spans="1:6">
      <c r="A43" s="4"/>
      <c r="B43" s="4"/>
      <c r="C43" s="3" t="s">
        <v>203</v>
      </c>
      <c r="D43" s="18" t="s">
        <v>204</v>
      </c>
      <c r="E43" s="18" t="s">
        <v>205</v>
      </c>
      <c r="F43" s="4"/>
    </row>
    <row r="44" spans="1:6">
      <c r="A44" s="4"/>
      <c r="B44" s="4"/>
      <c r="C44" s="18" t="s">
        <v>206</v>
      </c>
      <c r="D44" s="18" t="s">
        <v>207</v>
      </c>
      <c r="E44" s="18" t="s">
        <v>208</v>
      </c>
      <c r="F44" s="4"/>
    </row>
    <row r="45" spans="1:6" ht="29.1">
      <c r="A45" s="4"/>
      <c r="B45" s="4"/>
      <c r="C45" s="3" t="s">
        <v>209</v>
      </c>
      <c r="D45" s="18" t="s">
        <v>210</v>
      </c>
      <c r="E45" s="18" t="s">
        <v>211</v>
      </c>
      <c r="F45" s="4"/>
    </row>
    <row r="46" spans="1:6" ht="29.1">
      <c r="A46" s="4"/>
      <c r="B46" s="4"/>
      <c r="C46" s="18" t="s">
        <v>212</v>
      </c>
      <c r="D46" s="18" t="s">
        <v>213</v>
      </c>
      <c r="E46" s="18" t="s">
        <v>214</v>
      </c>
      <c r="F46" s="4"/>
    </row>
    <row r="47" spans="1:6">
      <c r="A47" s="4"/>
      <c r="B47" s="4"/>
      <c r="C47" s="18" t="s">
        <v>215</v>
      </c>
      <c r="D47" s="18"/>
      <c r="E47" s="18" t="s">
        <v>216</v>
      </c>
      <c r="F47" s="4"/>
    </row>
    <row r="48" spans="1:6">
      <c r="A48" s="4"/>
      <c r="B48" s="4"/>
      <c r="C48" s="18" t="s">
        <v>217</v>
      </c>
      <c r="D48" s="18" t="s">
        <v>218</v>
      </c>
      <c r="E48" s="18" t="s">
        <v>219</v>
      </c>
      <c r="F48" s="4"/>
    </row>
    <row r="49" spans="1:6">
      <c r="A49" s="4"/>
      <c r="B49" s="4"/>
      <c r="C49" s="8"/>
      <c r="D49" s="8"/>
      <c r="E49" s="4"/>
      <c r="F49" s="4"/>
    </row>
  </sheetData>
  <mergeCells count="1">
    <mergeCell ref="C2:E2"/>
  </mergeCells>
  <phoneticPr fontId="65"/>
  <hyperlinks>
    <hyperlink ref="C12" r:id="rId1" xr:uid="{86906B89-8FCA-4903-841B-4849235084C6}"/>
    <hyperlink ref="C45" r:id="rId2" location="composite-slas" xr:uid="{0D0ECAAC-2A23-41D2-AC6E-7F879FAB5426}"/>
    <hyperlink ref="C18" r:id="rId3" xr:uid="{59167C13-C67F-4886-ACC5-557B1B816FBA}"/>
    <hyperlink ref="C35" r:id="rId4" location="azure-cross-region-replication-pairings-for-all-geographies" xr:uid="{12E4134A-40A8-4FBD-B331-5E942A3647D6}"/>
    <hyperlink ref="C43" r:id="rId5" xr:uid="{D6022911-C861-4BAE-A7B6-5316C2C943D5}"/>
    <hyperlink ref="C33" r:id="rId6" xr:uid="{0DB06A36-6996-48ED-B95E-52ED066A331E}"/>
    <hyperlink ref="C9" r:id="rId7" location="availability-zones" xr:uid="{3242E319-B84F-41AC-832D-669A3BC4DA66}"/>
    <hyperlink ref="C11" r:id="rId8" location="regions" xr:uid="{70389543-02AC-4768-B8FC-6975482F3FA7}"/>
    <hyperlink ref="C10" r:id="rId9" location="overview" xr:uid="{FC277C50-4E90-469F-8BE8-A7626CC5E3A8}"/>
    <hyperlink ref="C8" r:id="rId10" xr:uid="{15BD6970-9EA5-4149-BA5B-556060293627}"/>
  </hyperlinks>
  <pageMargins left="0.7" right="0.7" top="0.75" bottom="0.75" header="0.3" footer="0.3"/>
  <pageSetup orientation="portrait" r:id="rId11"/>
  <drawing r:id="rId12"/>
  <tableParts count="1">
    <tablePart r:id="rId13"/>
  </tableParts>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BCE93D-37CE-40FE-9A09-FE42903CF43E}">
  <sheetPr>
    <tabColor rgb="FF00A4EF"/>
  </sheetPr>
  <dimension ref="A1:M49"/>
  <sheetViews>
    <sheetView showGridLines="0" showRowColHeaders="0" zoomScaleNormal="100" workbookViewId="0">
      <selection activeCell="E41" sqref="E41"/>
    </sheetView>
  </sheetViews>
  <sheetFormatPr defaultColWidth="0" defaultRowHeight="14.45" customHeight="1" zeroHeight="1" outlineLevelRow="1"/>
  <cols>
    <col min="1" max="2" width="5.85546875" customWidth="1"/>
    <col min="3" max="3" width="3.85546875" customWidth="1"/>
    <col min="4" max="4" width="38.42578125" bestFit="1" customWidth="1"/>
    <col min="5" max="5" width="57.140625" bestFit="1" customWidth="1"/>
    <col min="6" max="6" width="16.85546875" bestFit="1" customWidth="1"/>
    <col min="7" max="7" width="14.140625" bestFit="1" customWidth="1"/>
    <col min="8" max="8" width="14.140625" customWidth="1"/>
    <col min="9" max="9" width="23.42578125" bestFit="1" customWidth="1"/>
    <col min="10" max="10" width="9.140625" bestFit="1" customWidth="1"/>
    <col min="11" max="11" width="27.42578125" bestFit="1" customWidth="1"/>
    <col min="12" max="13" width="3.85546875" customWidth="1"/>
    <col min="14" max="16384" width="63.42578125" hidden="1"/>
  </cols>
  <sheetData>
    <row r="1" spans="1:13">
      <c r="A1" s="4"/>
      <c r="B1" s="4"/>
      <c r="C1" s="4"/>
      <c r="D1" s="4"/>
      <c r="E1" s="4"/>
      <c r="F1" s="4"/>
      <c r="G1" s="4"/>
      <c r="H1" s="4"/>
      <c r="I1" s="4"/>
      <c r="J1" s="4"/>
      <c r="K1" s="4"/>
      <c r="L1" s="4"/>
      <c r="M1" s="4"/>
    </row>
    <row r="2" spans="1:13" ht="21">
      <c r="A2" s="4"/>
      <c r="B2" s="4"/>
      <c r="C2" s="618" t="s">
        <v>1638</v>
      </c>
      <c r="D2" s="618"/>
      <c r="E2" s="618"/>
      <c r="F2" s="618"/>
      <c r="G2" s="618"/>
      <c r="H2" s="618"/>
      <c r="I2" s="618"/>
      <c r="J2" s="618"/>
      <c r="K2" s="618"/>
      <c r="L2" s="618"/>
      <c r="M2" s="4"/>
    </row>
    <row r="3" spans="1:13" ht="14.45" customHeight="1">
      <c r="A3" s="4"/>
      <c r="B3" s="4"/>
      <c r="C3" s="646" t="s">
        <v>1639</v>
      </c>
      <c r="D3" s="646"/>
      <c r="E3" s="646"/>
      <c r="F3" s="646"/>
      <c r="G3" s="646"/>
      <c r="H3" s="646"/>
      <c r="I3" s="646"/>
      <c r="J3" s="646"/>
      <c r="K3" s="646"/>
      <c r="L3" s="646"/>
      <c r="M3" s="4"/>
    </row>
    <row r="4" spans="1:13" ht="14.45" customHeight="1">
      <c r="A4" s="4"/>
      <c r="B4" s="4"/>
      <c r="C4" s="4"/>
      <c r="D4" s="4"/>
      <c r="E4" s="4"/>
      <c r="F4" s="4"/>
      <c r="G4" s="4"/>
      <c r="H4" s="4"/>
      <c r="I4" s="4"/>
      <c r="J4" s="4"/>
      <c r="K4" s="4"/>
      <c r="L4" s="4"/>
      <c r="M4" s="4"/>
    </row>
    <row r="5" spans="1:13" ht="14.45" customHeight="1">
      <c r="A5" s="4"/>
      <c r="B5" s="4"/>
      <c r="C5" s="7"/>
      <c r="D5" s="54"/>
      <c r="E5" s="54"/>
      <c r="F5" s="54"/>
      <c r="G5" s="54"/>
      <c r="H5" s="54"/>
      <c r="I5" s="54"/>
      <c r="J5" s="54"/>
      <c r="K5" s="54"/>
      <c r="L5" s="54"/>
      <c r="M5" s="8"/>
    </row>
    <row r="6" spans="1:13" ht="14.45" customHeight="1">
      <c r="A6" s="4"/>
      <c r="B6" s="4"/>
      <c r="C6" s="7"/>
      <c r="D6" s="107" t="s">
        <v>890</v>
      </c>
      <c r="E6" s="244" t="s">
        <v>891</v>
      </c>
      <c r="F6" s="241"/>
      <c r="G6" s="241"/>
      <c r="H6" s="241"/>
      <c r="I6" s="54"/>
      <c r="J6" s="54"/>
      <c r="K6" s="54"/>
      <c r="L6" s="54"/>
      <c r="M6" s="8"/>
    </row>
    <row r="7" spans="1:13" ht="14.45" customHeight="1">
      <c r="A7" s="4"/>
      <c r="B7" s="4"/>
      <c r="C7" s="7"/>
      <c r="D7" s="107" t="s">
        <v>892</v>
      </c>
      <c r="E7" s="244" t="s">
        <v>893</v>
      </c>
      <c r="F7" s="241"/>
      <c r="G7" s="241"/>
      <c r="H7" s="241"/>
      <c r="I7" s="54"/>
      <c r="J7" s="54"/>
      <c r="K7" s="54"/>
      <c r="L7" s="54"/>
      <c r="M7" s="8"/>
    </row>
    <row r="8" spans="1:13" ht="14.45" customHeight="1">
      <c r="A8" s="4"/>
      <c r="B8" s="4"/>
      <c r="C8" s="7"/>
      <c r="D8" s="107" t="s">
        <v>117</v>
      </c>
      <c r="E8" s="244" t="s">
        <v>894</v>
      </c>
      <c r="F8" s="241"/>
      <c r="G8" s="241"/>
      <c r="H8" s="241"/>
      <c r="I8" s="54"/>
      <c r="J8" s="54"/>
      <c r="K8" s="54"/>
      <c r="L8" s="54"/>
      <c r="M8" s="8"/>
    </row>
    <row r="9" spans="1:13" ht="14.45" customHeight="1">
      <c r="A9" s="4"/>
      <c r="B9" s="4"/>
      <c r="C9" s="7"/>
      <c r="D9" s="107" t="s">
        <v>822</v>
      </c>
      <c r="E9" s="244"/>
      <c r="F9" s="241"/>
      <c r="G9" s="241"/>
      <c r="H9" s="241"/>
      <c r="I9" s="54"/>
      <c r="J9" s="54"/>
      <c r="K9" s="54"/>
      <c r="L9" s="54"/>
      <c r="M9" s="8"/>
    </row>
    <row r="10" spans="1:13" ht="14.45" customHeight="1">
      <c r="A10" s="4"/>
      <c r="B10" s="4"/>
      <c r="C10" s="7"/>
      <c r="D10" s="107" t="s">
        <v>895</v>
      </c>
      <c r="E10" s="244"/>
      <c r="F10" s="241"/>
      <c r="G10" s="241"/>
      <c r="H10" s="241"/>
      <c r="I10" s="54"/>
      <c r="J10" s="54"/>
      <c r="K10" s="54"/>
      <c r="L10" s="54"/>
      <c r="M10" s="8"/>
    </row>
    <row r="11" spans="1:13" ht="14.45" customHeight="1">
      <c r="A11" s="4"/>
      <c r="B11" s="4"/>
      <c r="C11" s="7"/>
      <c r="D11" s="107" t="s">
        <v>896</v>
      </c>
      <c r="E11" s="244"/>
      <c r="F11" s="241"/>
      <c r="G11" s="241"/>
      <c r="H11" s="241"/>
      <c r="I11" s="54"/>
      <c r="J11" s="54"/>
      <c r="K11" s="54"/>
      <c r="L11" s="54"/>
      <c r="M11" s="8"/>
    </row>
    <row r="12" spans="1:13" ht="14.45" customHeight="1">
      <c r="A12" s="4"/>
      <c r="B12" s="4"/>
      <c r="C12" s="7"/>
      <c r="D12" s="107" t="s">
        <v>477</v>
      </c>
      <c r="E12" s="244"/>
      <c r="F12" s="241"/>
      <c r="G12" s="241"/>
      <c r="H12" s="241"/>
      <c r="I12" s="54"/>
      <c r="J12" s="54"/>
      <c r="K12" s="54"/>
      <c r="L12" s="54"/>
      <c r="M12" s="8"/>
    </row>
    <row r="13" spans="1:13" ht="14.45" customHeight="1">
      <c r="A13" s="4"/>
      <c r="B13" s="4"/>
      <c r="C13" s="7"/>
      <c r="D13" s="107" t="s">
        <v>897</v>
      </c>
      <c r="E13" s="244" t="s">
        <v>317</v>
      </c>
      <c r="F13" s="241"/>
      <c r="G13" s="241"/>
      <c r="H13" s="241"/>
      <c r="I13" s="54"/>
      <c r="J13" s="54"/>
      <c r="K13" s="54"/>
      <c r="L13" s="54"/>
      <c r="M13" s="8"/>
    </row>
    <row r="14" spans="1:13" ht="14.45" customHeight="1">
      <c r="A14" s="4"/>
      <c r="B14" s="4"/>
      <c r="C14" s="7"/>
      <c r="D14" s="107" t="s">
        <v>267</v>
      </c>
      <c r="E14" s="245" t="s">
        <v>328</v>
      </c>
      <c r="F14" s="242"/>
      <c r="G14" s="242"/>
      <c r="H14" s="242"/>
      <c r="I14" s="54"/>
      <c r="J14" s="54"/>
      <c r="K14" s="54"/>
      <c r="L14" s="54"/>
      <c r="M14" s="8"/>
    </row>
    <row r="15" spans="1:13" ht="14.45" customHeight="1">
      <c r="A15" s="4"/>
      <c r="B15" s="4"/>
      <c r="C15" s="7"/>
      <c r="D15" s="107" t="s">
        <v>898</v>
      </c>
      <c r="E15" s="372" t="s">
        <v>899</v>
      </c>
      <c r="F15" s="242"/>
      <c r="G15" s="242"/>
      <c r="H15" s="242"/>
      <c r="I15" s="54"/>
      <c r="J15" s="54"/>
      <c r="K15" s="54"/>
      <c r="L15" s="54"/>
      <c r="M15" s="8"/>
    </row>
    <row r="16" spans="1:13" ht="14.45" customHeight="1">
      <c r="A16" s="4"/>
      <c r="B16" s="4"/>
      <c r="C16" s="7"/>
      <c r="D16" s="107" t="s">
        <v>900</v>
      </c>
      <c r="E16" s="246">
        <v>45020</v>
      </c>
      <c r="F16" s="243"/>
      <c r="G16" s="243"/>
      <c r="H16" s="243"/>
      <c r="I16" s="54"/>
      <c r="J16" s="54"/>
      <c r="K16" s="54"/>
      <c r="L16" s="54"/>
      <c r="M16" s="8"/>
    </row>
    <row r="17" spans="1:13" ht="14.45" customHeight="1">
      <c r="A17" s="4"/>
      <c r="B17" s="4"/>
      <c r="C17" s="7"/>
      <c r="D17" s="107" t="s">
        <v>901</v>
      </c>
      <c r="E17" s="246">
        <v>45386</v>
      </c>
      <c r="F17" s="243"/>
      <c r="G17" s="243"/>
      <c r="H17" s="243"/>
      <c r="I17" s="54"/>
      <c r="J17" s="54"/>
      <c r="K17" s="54"/>
      <c r="L17" s="54"/>
      <c r="M17" s="8"/>
    </row>
    <row r="18" spans="1:13" ht="14.45" customHeight="1">
      <c r="A18" s="4"/>
      <c r="B18" s="4"/>
      <c r="C18" s="7"/>
      <c r="D18" s="107" t="s">
        <v>902</v>
      </c>
      <c r="E18" s="247">
        <v>43160</v>
      </c>
      <c r="F18" s="87"/>
      <c r="G18" s="87"/>
      <c r="H18" s="87"/>
      <c r="I18" s="54"/>
      <c r="J18" s="54"/>
      <c r="K18" s="54"/>
      <c r="L18" s="54"/>
      <c r="M18" s="8"/>
    </row>
    <row r="19" spans="1:13" ht="14.45" customHeight="1">
      <c r="A19" s="4"/>
      <c r="B19" s="4"/>
      <c r="C19" s="7"/>
      <c r="D19" s="107" t="s">
        <v>903</v>
      </c>
      <c r="E19" s="247" t="s">
        <v>904</v>
      </c>
      <c r="F19" s="87"/>
      <c r="G19" s="87"/>
      <c r="H19" s="87"/>
      <c r="I19" s="54"/>
      <c r="J19" s="54"/>
      <c r="K19" s="54"/>
      <c r="L19" s="54"/>
      <c r="M19" s="8"/>
    </row>
    <row r="20" spans="1:13" ht="14.45" customHeight="1">
      <c r="A20" s="4"/>
      <c r="B20" s="4"/>
      <c r="C20" s="7"/>
      <c r="D20" s="107" t="s">
        <v>905</v>
      </c>
      <c r="E20" s="247" t="s">
        <v>906</v>
      </c>
      <c r="F20" s="87"/>
      <c r="G20" s="87"/>
      <c r="H20" s="87"/>
      <c r="I20" s="54"/>
      <c r="J20" s="54"/>
      <c r="K20" s="54"/>
      <c r="L20" s="54"/>
      <c r="M20" s="8"/>
    </row>
    <row r="21" spans="1:13" ht="14.45" customHeight="1">
      <c r="A21" s="4"/>
      <c r="B21" s="4"/>
      <c r="C21" s="7"/>
      <c r="D21" s="108" t="s">
        <v>907</v>
      </c>
      <c r="E21" s="248" t="s">
        <v>908</v>
      </c>
      <c r="F21" s="67"/>
      <c r="G21" s="67"/>
      <c r="H21" s="67"/>
      <c r="I21" s="54"/>
      <c r="J21" s="54"/>
      <c r="K21" s="54"/>
      <c r="L21" s="54"/>
      <c r="M21" s="8"/>
    </row>
    <row r="22" spans="1:13" ht="14.45" customHeight="1">
      <c r="A22" s="4"/>
      <c r="B22" s="4"/>
      <c r="C22" s="7"/>
      <c r="D22" s="54"/>
      <c r="E22" s="54"/>
      <c r="F22" s="160"/>
      <c r="G22" s="160"/>
      <c r="H22" s="160"/>
      <c r="I22" s="54"/>
      <c r="J22" s="54"/>
      <c r="K22" s="54"/>
      <c r="L22" s="54"/>
      <c r="M22" s="8"/>
    </row>
    <row r="23" spans="1:13" ht="14.45" customHeight="1">
      <c r="A23" s="4"/>
      <c r="B23" s="4"/>
      <c r="C23" s="4"/>
      <c r="D23" s="4"/>
      <c r="E23" s="4"/>
      <c r="F23" s="4"/>
      <c r="G23" s="4"/>
      <c r="H23" s="4"/>
      <c r="I23" s="4"/>
      <c r="J23" s="4"/>
      <c r="K23" s="4"/>
      <c r="L23" s="4"/>
      <c r="M23" s="4"/>
    </row>
    <row r="24" spans="1:13" ht="14.45" customHeight="1">
      <c r="A24" s="4"/>
      <c r="B24" s="4"/>
      <c r="C24" s="7" t="s">
        <v>1384</v>
      </c>
      <c r="D24" s="7"/>
      <c r="E24" s="7"/>
      <c r="F24" s="7"/>
      <c r="G24" s="7"/>
      <c r="H24" s="7"/>
      <c r="I24" s="7"/>
      <c r="J24" s="7"/>
      <c r="K24" s="7"/>
      <c r="L24" s="7"/>
      <c r="M24" s="4"/>
    </row>
    <row r="25" spans="1:13" ht="14.45" customHeight="1">
      <c r="A25" s="4"/>
      <c r="B25" s="4"/>
      <c r="C25" s="7" t="s">
        <v>1640</v>
      </c>
      <c r="D25" s="7"/>
      <c r="E25" s="7"/>
      <c r="F25" s="7"/>
      <c r="G25" s="7"/>
      <c r="H25" s="7"/>
      <c r="I25" s="7"/>
      <c r="J25" s="7"/>
      <c r="K25" s="7"/>
      <c r="L25" s="7"/>
      <c r="M25" s="4"/>
    </row>
    <row r="26" spans="1:13" ht="14.45" customHeight="1">
      <c r="A26" s="4"/>
      <c r="B26" s="4"/>
      <c r="C26" s="7" t="s">
        <v>1641</v>
      </c>
      <c r="D26" s="7"/>
      <c r="E26" s="7"/>
      <c r="F26" s="7"/>
      <c r="G26" s="7"/>
      <c r="H26" s="7"/>
      <c r="I26" s="7"/>
      <c r="J26" s="7"/>
      <c r="K26" s="7"/>
      <c r="L26" s="7"/>
      <c r="M26" s="4"/>
    </row>
    <row r="27" spans="1:13" ht="14.45" customHeight="1">
      <c r="A27" s="4"/>
      <c r="B27" s="4"/>
      <c r="C27" s="7" t="s">
        <v>1642</v>
      </c>
      <c r="D27" s="7"/>
      <c r="E27" s="7"/>
      <c r="F27" s="7"/>
      <c r="G27" s="7"/>
      <c r="H27" s="7"/>
      <c r="I27" s="7"/>
      <c r="J27" s="7"/>
      <c r="K27" s="7"/>
      <c r="L27" s="7"/>
      <c r="M27" s="4"/>
    </row>
    <row r="28" spans="1:13" ht="14.45" customHeight="1">
      <c r="A28" s="4"/>
      <c r="B28" s="4"/>
      <c r="C28" s="7" t="s">
        <v>1643</v>
      </c>
      <c r="D28" s="7"/>
      <c r="E28" s="7"/>
      <c r="F28" s="7"/>
      <c r="G28" s="7"/>
      <c r="H28" s="7"/>
      <c r="I28" s="7"/>
      <c r="J28" s="7"/>
      <c r="K28" s="7"/>
      <c r="L28" s="7"/>
      <c r="M28" s="4"/>
    </row>
    <row r="29" spans="1:13" ht="14.45" customHeight="1">
      <c r="A29" s="4"/>
      <c r="B29" s="4"/>
      <c r="C29" s="4"/>
      <c r="D29" s="4"/>
      <c r="E29" s="4"/>
      <c r="F29" s="4"/>
      <c r="G29" s="4"/>
      <c r="H29" s="4"/>
      <c r="I29" s="4"/>
      <c r="J29" s="4"/>
      <c r="K29" s="4"/>
      <c r="L29" s="4"/>
      <c r="M29" s="4"/>
    </row>
    <row r="30" spans="1:13" s="123" customFormat="1" ht="14.45" customHeight="1">
      <c r="A30" s="102"/>
      <c r="B30" s="102"/>
      <c r="C30" s="102" t="s">
        <v>1644</v>
      </c>
      <c r="D30" s="102"/>
      <c r="E30" s="102"/>
      <c r="F30" s="102"/>
      <c r="G30" s="102"/>
      <c r="H30" s="102"/>
      <c r="I30" s="102"/>
      <c r="J30" s="102"/>
      <c r="K30" s="102"/>
      <c r="L30" s="102"/>
      <c r="M30" s="102"/>
    </row>
    <row r="31" spans="1:13" ht="14.45" customHeight="1">
      <c r="A31" s="4"/>
      <c r="B31" s="4"/>
      <c r="C31" s="4"/>
      <c r="D31" s="4"/>
      <c r="E31" s="4"/>
      <c r="F31" s="4"/>
      <c r="G31" s="4"/>
      <c r="H31" s="4"/>
      <c r="I31" s="4"/>
      <c r="J31" s="4"/>
      <c r="K31" s="4"/>
      <c r="L31" s="4"/>
      <c r="M31" s="4"/>
    </row>
    <row r="32" spans="1:13" ht="14.45" customHeight="1" outlineLevel="1">
      <c r="A32" s="4"/>
      <c r="B32" s="4"/>
      <c r="C32" s="85"/>
      <c r="D32" s="85"/>
      <c r="E32" s="85"/>
      <c r="F32" s="85"/>
      <c r="G32" s="85"/>
      <c r="H32" s="85"/>
      <c r="I32" s="85"/>
      <c r="J32" s="85"/>
      <c r="K32" s="85"/>
      <c r="L32" s="85"/>
      <c r="M32" s="4"/>
    </row>
    <row r="33" spans="1:13" ht="14.45" customHeight="1" outlineLevel="1">
      <c r="A33" s="4"/>
      <c r="B33" s="4"/>
      <c r="C33" s="85"/>
      <c r="D33" s="16" t="s">
        <v>1645</v>
      </c>
      <c r="E33" s="16" t="s">
        <v>474</v>
      </c>
      <c r="F33" s="16" t="s">
        <v>1646</v>
      </c>
      <c r="G33" s="16" t="s">
        <v>1647</v>
      </c>
      <c r="H33" s="16" t="s">
        <v>1648</v>
      </c>
      <c r="I33" s="16" t="s">
        <v>1649</v>
      </c>
      <c r="J33" s="16" t="s">
        <v>1170</v>
      </c>
      <c r="K33" s="16" t="s">
        <v>1650</v>
      </c>
      <c r="L33" s="85"/>
      <c r="M33" s="4"/>
    </row>
    <row r="34" spans="1:13" outlineLevel="1">
      <c r="A34" s="4"/>
      <c r="B34" s="4"/>
      <c r="C34" s="85"/>
      <c r="D34" s="16" t="s">
        <v>247</v>
      </c>
      <c r="E34" s="18" t="s">
        <v>1651</v>
      </c>
      <c r="F34" s="16" t="s">
        <v>1570</v>
      </c>
      <c r="G34" s="16"/>
      <c r="H34" s="16"/>
      <c r="I34" s="206">
        <v>44986</v>
      </c>
      <c r="J34" s="206" t="s">
        <v>1652</v>
      </c>
      <c r="K34" s="206">
        <f t="shared" ref="K34:K45" si="0">DATE(YEAR(I34),MONTH(I34)+6,DAY(I34))</f>
        <v>45170</v>
      </c>
      <c r="L34" s="85"/>
      <c r="M34" s="4"/>
    </row>
    <row r="35" spans="1:13" ht="14.45" customHeight="1" outlineLevel="1">
      <c r="A35" s="4"/>
      <c r="B35" s="4"/>
      <c r="C35" s="85"/>
      <c r="D35" s="16" t="s">
        <v>1653</v>
      </c>
      <c r="E35" s="18" t="s">
        <v>1654</v>
      </c>
      <c r="F35" s="16" t="s">
        <v>1562</v>
      </c>
      <c r="G35" s="16"/>
      <c r="H35" s="16"/>
      <c r="I35" s="206">
        <v>44987</v>
      </c>
      <c r="J35" s="206" t="s">
        <v>1652</v>
      </c>
      <c r="K35" s="206">
        <f t="shared" si="0"/>
        <v>45171</v>
      </c>
      <c r="L35" s="85"/>
      <c r="M35" s="4"/>
    </row>
    <row r="36" spans="1:13" ht="57.95" outlineLevel="1">
      <c r="A36" s="4"/>
      <c r="B36" s="4"/>
      <c r="C36" s="85"/>
      <c r="D36" s="16" t="s">
        <v>17</v>
      </c>
      <c r="E36" s="18" t="s">
        <v>1655</v>
      </c>
      <c r="F36" s="16" t="s">
        <v>1570</v>
      </c>
      <c r="G36" s="16"/>
      <c r="H36" s="16"/>
      <c r="I36" s="206">
        <v>44988</v>
      </c>
      <c r="J36" s="206" t="s">
        <v>1652</v>
      </c>
      <c r="K36" s="206">
        <f t="shared" si="0"/>
        <v>45172</v>
      </c>
      <c r="L36" s="85"/>
      <c r="M36" s="4"/>
    </row>
    <row r="37" spans="1:13" ht="14.45" customHeight="1" outlineLevel="1">
      <c r="A37" s="4"/>
      <c r="B37" s="4"/>
      <c r="C37" s="85"/>
      <c r="D37" s="16" t="s">
        <v>1656</v>
      </c>
      <c r="E37" s="18" t="s">
        <v>1657</v>
      </c>
      <c r="F37" s="16" t="s">
        <v>1562</v>
      </c>
      <c r="G37" s="16"/>
      <c r="H37" s="16"/>
      <c r="I37" s="206">
        <v>44989</v>
      </c>
      <c r="J37" s="206" t="s">
        <v>1652</v>
      </c>
      <c r="K37" s="206">
        <f t="shared" si="0"/>
        <v>45173</v>
      </c>
      <c r="L37" s="85"/>
      <c r="M37" s="4"/>
    </row>
    <row r="38" spans="1:13" ht="43.5" outlineLevel="1">
      <c r="A38" s="4"/>
      <c r="B38" s="4"/>
      <c r="C38" s="85"/>
      <c r="D38" s="16" t="s">
        <v>358</v>
      </c>
      <c r="E38" s="18" t="s">
        <v>1658</v>
      </c>
      <c r="F38" s="16" t="s">
        <v>1562</v>
      </c>
      <c r="G38" s="16"/>
      <c r="H38" s="16"/>
      <c r="I38" s="206">
        <v>44990</v>
      </c>
      <c r="J38" s="206" t="s">
        <v>1652</v>
      </c>
      <c r="K38" s="206">
        <f t="shared" si="0"/>
        <v>45174</v>
      </c>
      <c r="L38" s="85"/>
      <c r="M38" s="4"/>
    </row>
    <row r="39" spans="1:13" ht="29.1" outlineLevel="1">
      <c r="A39" s="4"/>
      <c r="B39" s="4"/>
      <c r="C39" s="85"/>
      <c r="D39" s="16" t="s">
        <v>140</v>
      </c>
      <c r="E39" s="18" t="s">
        <v>1659</v>
      </c>
      <c r="F39" s="16" t="s">
        <v>1660</v>
      </c>
      <c r="G39" s="16"/>
      <c r="H39" s="16"/>
      <c r="I39" s="206">
        <v>44991</v>
      </c>
      <c r="J39" s="206" t="s">
        <v>1652</v>
      </c>
      <c r="K39" s="206">
        <f t="shared" si="0"/>
        <v>45175</v>
      </c>
      <c r="L39" s="85"/>
      <c r="M39" s="4"/>
    </row>
    <row r="40" spans="1:13" outlineLevel="1">
      <c r="A40" s="4"/>
      <c r="B40" s="4"/>
      <c r="C40" s="85"/>
      <c r="D40" s="16" t="s">
        <v>1661</v>
      </c>
      <c r="E40" s="18" t="s">
        <v>1662</v>
      </c>
      <c r="F40" s="16" t="s">
        <v>1660</v>
      </c>
      <c r="G40" s="16"/>
      <c r="H40" s="16"/>
      <c r="I40" s="206">
        <v>44991</v>
      </c>
      <c r="J40" s="206" t="s">
        <v>1652</v>
      </c>
      <c r="K40" s="206">
        <f t="shared" ref="K40" si="1">DATE(YEAR(I40),MONTH(I40)+6,DAY(I40))</f>
        <v>45175</v>
      </c>
      <c r="L40" s="85"/>
      <c r="M40" s="4"/>
    </row>
    <row r="41" spans="1:13" ht="43.5" outlineLevel="1">
      <c r="A41" s="4"/>
      <c r="B41" s="4"/>
      <c r="C41" s="85"/>
      <c r="D41" s="16" t="s">
        <v>1243</v>
      </c>
      <c r="E41" s="18" t="s">
        <v>1663</v>
      </c>
      <c r="F41" s="16" t="s">
        <v>1562</v>
      </c>
      <c r="G41" s="16"/>
      <c r="H41" s="16"/>
      <c r="I41" s="206">
        <v>44992</v>
      </c>
      <c r="J41" s="206" t="s">
        <v>1652</v>
      </c>
      <c r="K41" s="206">
        <f t="shared" si="0"/>
        <v>45176</v>
      </c>
      <c r="L41" s="85"/>
      <c r="M41" s="4"/>
    </row>
    <row r="42" spans="1:13" ht="29.1" outlineLevel="1">
      <c r="A42" s="4"/>
      <c r="B42" s="4"/>
      <c r="C42" s="85"/>
      <c r="D42" s="16" t="s">
        <v>258</v>
      </c>
      <c r="E42" s="18" t="s">
        <v>1511</v>
      </c>
      <c r="F42" s="16" t="s">
        <v>1660</v>
      </c>
      <c r="G42" s="16"/>
      <c r="H42" s="16"/>
      <c r="I42" s="206">
        <v>44993</v>
      </c>
      <c r="J42" s="206" t="s">
        <v>1652</v>
      </c>
      <c r="K42" s="206">
        <f t="shared" si="0"/>
        <v>45177</v>
      </c>
      <c r="L42" s="85"/>
      <c r="M42" s="4"/>
    </row>
    <row r="43" spans="1:13" ht="14.45" customHeight="1" outlineLevel="1">
      <c r="A43" s="4"/>
      <c r="B43" s="4"/>
      <c r="C43" s="85"/>
      <c r="D43" s="16" t="s">
        <v>77</v>
      </c>
      <c r="E43" s="18" t="s">
        <v>1664</v>
      </c>
      <c r="F43" s="16" t="s">
        <v>1562</v>
      </c>
      <c r="G43" s="16"/>
      <c r="H43" s="16"/>
      <c r="I43" s="206">
        <v>44994</v>
      </c>
      <c r="J43" s="206" t="s">
        <v>1652</v>
      </c>
      <c r="K43" s="206">
        <f t="shared" si="0"/>
        <v>45178</v>
      </c>
      <c r="L43" s="85"/>
      <c r="M43" s="4"/>
    </row>
    <row r="44" spans="1:13" ht="14.45" customHeight="1" outlineLevel="1">
      <c r="A44" s="4"/>
      <c r="B44" s="4"/>
      <c r="C44" s="85"/>
      <c r="D44" s="16" t="s">
        <v>73</v>
      </c>
      <c r="E44" s="18" t="s">
        <v>1665</v>
      </c>
      <c r="F44" s="16" t="s">
        <v>1562</v>
      </c>
      <c r="G44" s="16"/>
      <c r="H44" s="16"/>
      <c r="I44" s="206">
        <v>44995</v>
      </c>
      <c r="J44" s="206" t="s">
        <v>1652</v>
      </c>
      <c r="K44" s="206">
        <f t="shared" si="0"/>
        <v>45179</v>
      </c>
      <c r="L44" s="85"/>
      <c r="M44" s="4"/>
    </row>
    <row r="45" spans="1:13" ht="14.45" customHeight="1" outlineLevel="1">
      <c r="A45" s="4"/>
      <c r="B45" s="4"/>
      <c r="C45" s="85"/>
      <c r="D45" s="16" t="s">
        <v>1666</v>
      </c>
      <c r="E45" s="18" t="s">
        <v>1667</v>
      </c>
      <c r="F45" s="16" t="s">
        <v>1562</v>
      </c>
      <c r="G45" s="16"/>
      <c r="H45" s="16"/>
      <c r="I45" s="206">
        <v>44996</v>
      </c>
      <c r="J45" s="206" t="s">
        <v>1652</v>
      </c>
      <c r="K45" s="206">
        <f t="shared" si="0"/>
        <v>45180</v>
      </c>
      <c r="L45" s="85"/>
      <c r="M45" s="4"/>
    </row>
    <row r="46" spans="1:13" ht="14.45" customHeight="1" outlineLevel="1">
      <c r="A46" s="4"/>
      <c r="B46" s="4"/>
      <c r="C46" s="85"/>
      <c r="D46" s="16" t="s">
        <v>293</v>
      </c>
      <c r="E46" s="18" t="s">
        <v>1668</v>
      </c>
      <c r="F46" s="16" t="s">
        <v>1660</v>
      </c>
      <c r="G46" s="16"/>
      <c r="H46" s="16"/>
      <c r="I46" s="307">
        <v>44986</v>
      </c>
      <c r="J46" s="206" t="s">
        <v>1652</v>
      </c>
      <c r="K46" s="206">
        <f>DATE(YEAR(I46),MONTH(I46)+6,DAY(I46))</f>
        <v>45170</v>
      </c>
      <c r="L46" s="85"/>
      <c r="M46" s="4"/>
    </row>
    <row r="47" spans="1:13" ht="29.1" outlineLevel="1">
      <c r="A47" s="4"/>
      <c r="B47" s="4"/>
      <c r="C47" s="85"/>
      <c r="D47" s="16" t="s">
        <v>1669</v>
      </c>
      <c r="E47" s="18" t="s">
        <v>1670</v>
      </c>
      <c r="F47" s="16" t="s">
        <v>1660</v>
      </c>
      <c r="G47" s="16"/>
      <c r="H47" s="16"/>
      <c r="I47" s="307">
        <v>44986</v>
      </c>
      <c r="J47" s="206" t="s">
        <v>1652</v>
      </c>
      <c r="K47" s="206">
        <f>DATE(YEAR(I47),MONTH(I47)+6,DAY(I47))</f>
        <v>45170</v>
      </c>
      <c r="L47" s="85"/>
      <c r="M47" s="4"/>
    </row>
    <row r="48" spans="1:13" ht="14.45" customHeight="1" outlineLevel="1">
      <c r="A48" s="4"/>
      <c r="B48" s="4"/>
      <c r="C48" s="7"/>
      <c r="D48" s="7"/>
      <c r="E48" s="7"/>
      <c r="F48" s="7"/>
      <c r="G48" s="7"/>
      <c r="H48" s="7"/>
      <c r="I48" s="7"/>
      <c r="J48" s="7"/>
      <c r="K48" s="7"/>
      <c r="L48" s="7"/>
      <c r="M48" s="4"/>
    </row>
    <row r="49" spans="1:13" ht="14.45" customHeight="1">
      <c r="A49" s="4"/>
      <c r="B49" s="4"/>
      <c r="C49" s="4"/>
      <c r="D49" s="4"/>
      <c r="E49" s="4"/>
      <c r="F49" s="4"/>
      <c r="G49" s="4"/>
      <c r="H49" s="4"/>
      <c r="I49" s="4"/>
      <c r="J49" s="4"/>
      <c r="K49" s="4"/>
      <c r="L49" s="4"/>
      <c r="M49" s="4"/>
    </row>
  </sheetData>
  <mergeCells count="2">
    <mergeCell ref="C2:L2"/>
    <mergeCell ref="C3:L3"/>
  </mergeCells>
  <phoneticPr fontId="65"/>
  <hyperlinks>
    <hyperlink ref="E21" r:id="rId1" display="https://learn.microsoft.com/en-us/azure/architecture/web-apps/app-service/architectures/multi-region" xr:uid="{C90B82BE-43B2-4216-8445-8CA1DAE8BB1B}"/>
  </hyperlinks>
  <pageMargins left="0.7" right="0.7" top="0.75" bottom="0.75" header="0.3" footer="0.3"/>
  <pageSetup orientation="portrait" r:id="rId2"/>
  <drawing r:id="rId3"/>
  <tableParts count="1">
    <tablePart r:id="rId4"/>
  </tableParts>
  <extLst>
    <ext xmlns:x14="http://schemas.microsoft.com/office/spreadsheetml/2009/9/main" uri="{78C0D931-6437-407d-A8EE-F0AAD7539E65}">
      <x14:conditionalFormattings>
        <x14:conditionalFormatting xmlns:xm="http://schemas.microsoft.com/office/excel/2006/main">
          <x14:cfRule type="cellIs" priority="1" operator="equal" id="{F00418A3-32F8-4690-A62B-61A0892625F0}">
            <xm:f>Data!$L$13</xm:f>
            <x14:dxf>
              <font>
                <color theme="0"/>
              </font>
              <fill>
                <patternFill>
                  <bgColor rgb="FFF25022"/>
                </patternFill>
              </fill>
            </x14:dxf>
          </x14:cfRule>
          <x14:cfRule type="cellIs" priority="2" operator="equal" id="{178F0BBE-CAEB-415A-82B0-12C5D44C3C06}">
            <xm:f>Data!$L$12</xm:f>
            <x14:dxf>
              <font>
                <color theme="0"/>
              </font>
              <fill>
                <patternFill>
                  <bgColor rgb="FFF25022"/>
                </patternFill>
              </fill>
            </x14:dxf>
          </x14:cfRule>
          <x14:cfRule type="cellIs" priority="3" operator="equal" id="{9358F19C-B559-4090-A3CF-E59370656D6B}">
            <xm:f>Data!$L$11</xm:f>
            <x14:dxf>
              <font>
                <color theme="0"/>
              </font>
              <fill>
                <patternFill>
                  <bgColor rgb="FFF25022"/>
                </patternFill>
              </fill>
            </x14:dxf>
          </x14:cfRule>
          <x14:cfRule type="cellIs" priority="4" operator="equal" id="{DD91B379-6F3E-4CC6-8C4A-45AAD1AF9C7F}">
            <xm:f>Data!$L$10</xm:f>
            <x14:dxf>
              <font>
                <color theme="0"/>
              </font>
              <fill>
                <patternFill>
                  <bgColor rgb="FFF25022"/>
                </patternFill>
              </fill>
            </x14:dxf>
          </x14:cfRule>
          <x14:cfRule type="cellIs" priority="5" operator="equal" id="{0AA187F9-EBFA-4AD3-BD12-C21C4876112E}">
            <xm:f>Data!$L$6</xm:f>
            <x14:dxf>
              <font>
                <color theme="0"/>
              </font>
              <fill>
                <patternFill>
                  <bgColor rgb="FFF25022"/>
                </patternFill>
              </fill>
            </x14:dxf>
          </x14:cfRule>
          <x14:cfRule type="cellIs" priority="6" operator="equal" id="{28F3531D-1802-4C62-8337-4E21E1C20E94}">
            <xm:f>Data!$L$9</xm:f>
            <x14:dxf>
              <font>
                <color theme="1"/>
              </font>
              <fill>
                <patternFill>
                  <bgColor rgb="FF7FBA00"/>
                </patternFill>
              </fill>
            </x14:dxf>
          </x14:cfRule>
          <x14:cfRule type="cellIs" priority="7" operator="equal" id="{6A394DDC-3CF2-4EA3-AE60-F2BE93DEC43B}">
            <xm:f>Data!$L$8</xm:f>
            <x14:dxf>
              <font>
                <color theme="1"/>
              </font>
              <fill>
                <patternFill>
                  <bgColor rgb="FF00A4EF"/>
                </patternFill>
              </fill>
            </x14:dxf>
          </x14:cfRule>
          <x14:cfRule type="cellIs" priority="8" operator="equal" id="{85E0C35C-6673-44A5-B5F7-449B3F240425}">
            <xm:f>Data!$L$7</xm:f>
            <x14:dxf>
              <font>
                <color theme="1"/>
              </font>
              <fill>
                <patternFill>
                  <bgColor rgb="FFFFB900"/>
                </patternFill>
              </fill>
            </x14:dxf>
          </x14:cfRule>
          <x14:cfRule type="cellIs" priority="9" operator="equal" id="{478D9356-0181-486C-A8E1-C1438E8CF0EC}">
            <xm:f>Data!$L$5</xm:f>
            <x14:dxf>
              <font>
                <color theme="0"/>
              </font>
              <fill>
                <patternFill>
                  <bgColor rgb="FFF25022"/>
                </patternFill>
              </fill>
            </x14:dxf>
          </x14:cfRule>
          <x14:cfRule type="cellIs" priority="10" operator="equal" id="{0C249973-4BDF-4800-9FC0-9047322D4223}">
            <xm:f>Data!$L$6+Data!$L$14</xm:f>
            <x14:dxf>
              <font>
                <color theme="0"/>
              </font>
              <fill>
                <patternFill>
                  <bgColor rgb="FF747474"/>
                </patternFill>
              </fill>
            </x14:dxf>
          </x14:cfRule>
          <xm:sqref>E14:E15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977448E-2E6D-4E7B-9241-B53B0EE1109B}">
          <x14:formula1>
            <xm:f>Data!$J$16:$J$24</xm:f>
          </x14:formula1>
          <xm:sqref>F34:F47</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AB00BE-CCEA-4307-BADC-F85771DCE68B}">
  <sheetPr>
    <tabColor rgb="FF737373"/>
  </sheetPr>
  <dimension ref="A1:O68"/>
  <sheetViews>
    <sheetView showGridLines="0" showRowColHeaders="0" zoomScale="85" zoomScaleNormal="85" workbookViewId="0">
      <selection activeCell="A6" sqref="A6"/>
    </sheetView>
  </sheetViews>
  <sheetFormatPr defaultColWidth="0" defaultRowHeight="14.45" zeroHeight="1" outlineLevelRow="1"/>
  <cols>
    <col min="1" max="2" width="5.85546875" customWidth="1"/>
    <col min="3" max="3" width="3.85546875" customWidth="1"/>
    <col min="4" max="4" width="11.85546875" customWidth="1"/>
    <col min="5" max="5" width="18.42578125" bestFit="1" customWidth="1"/>
    <col min="6" max="6" width="158.140625" customWidth="1"/>
    <col min="7" max="7" width="11.5703125" bestFit="1" customWidth="1"/>
    <col min="8" max="8" width="13.42578125" bestFit="1" customWidth="1"/>
    <col min="9" max="9" width="15.42578125" bestFit="1" customWidth="1"/>
    <col min="10" max="10" width="100.85546875" bestFit="1" customWidth="1"/>
    <col min="11" max="12" width="3.85546875" customWidth="1"/>
    <col min="13" max="15" width="0" hidden="1" customWidth="1"/>
    <col min="16" max="16384" width="8.85546875" hidden="1"/>
  </cols>
  <sheetData>
    <row r="1" spans="1:12">
      <c r="A1" s="4"/>
      <c r="B1" s="4"/>
      <c r="C1" s="4"/>
      <c r="D1" s="4"/>
      <c r="E1" s="4"/>
      <c r="F1" s="4"/>
      <c r="G1" s="4"/>
      <c r="H1" s="4"/>
      <c r="I1" s="4"/>
      <c r="J1" s="4"/>
      <c r="K1" s="4"/>
      <c r="L1" s="4"/>
    </row>
    <row r="2" spans="1:12" ht="21">
      <c r="A2" s="4"/>
      <c r="B2" s="4"/>
      <c r="C2" s="618" t="s">
        <v>1671</v>
      </c>
      <c r="D2" s="618"/>
      <c r="E2" s="618"/>
      <c r="F2" s="618"/>
      <c r="G2" s="618"/>
      <c r="H2" s="618"/>
      <c r="I2" s="618"/>
      <c r="J2" s="618"/>
      <c r="K2" s="618"/>
      <c r="L2" s="4"/>
    </row>
    <row r="3" spans="1:12">
      <c r="A3" s="4"/>
      <c r="B3" s="4"/>
      <c r="C3" s="646" t="s">
        <v>1672</v>
      </c>
      <c r="D3" s="646"/>
      <c r="E3" s="646"/>
      <c r="F3" s="646"/>
      <c r="G3" s="646"/>
      <c r="H3" s="646"/>
      <c r="I3" s="646"/>
      <c r="J3" s="646"/>
      <c r="K3" s="646"/>
      <c r="L3" s="4"/>
    </row>
    <row r="4" spans="1:12">
      <c r="A4" s="4"/>
      <c r="B4" s="4"/>
      <c r="C4" s="8"/>
      <c r="D4" s="8"/>
      <c r="E4" s="8"/>
      <c r="F4" s="8"/>
      <c r="G4" s="8"/>
      <c r="H4" s="8"/>
      <c r="I4" s="8"/>
      <c r="J4" s="4"/>
      <c r="K4" s="4"/>
      <c r="L4" s="4"/>
    </row>
    <row r="5" spans="1:12" ht="14.45" customHeight="1">
      <c r="A5" s="4"/>
      <c r="B5" s="4"/>
      <c r="C5" s="198"/>
      <c r="D5" s="7"/>
      <c r="E5" s="106"/>
      <c r="F5" s="85"/>
      <c r="G5" s="85"/>
      <c r="H5" s="7"/>
      <c r="I5" s="7"/>
      <c r="J5" s="7"/>
      <c r="K5" s="7"/>
      <c r="L5" s="4"/>
    </row>
    <row r="6" spans="1:12" ht="14.45" customHeight="1">
      <c r="A6" s="4"/>
      <c r="B6" s="4"/>
      <c r="C6" s="198"/>
      <c r="D6" s="170" t="s">
        <v>299</v>
      </c>
      <c r="E6" s="112"/>
      <c r="F6" s="7"/>
      <c r="G6" s="7"/>
      <c r="H6" s="7"/>
      <c r="I6" s="7"/>
      <c r="J6" s="7"/>
      <c r="K6" s="7"/>
      <c r="L6" s="4"/>
    </row>
    <row r="7" spans="1:12" ht="14.45" customHeight="1">
      <c r="A7" s="4"/>
      <c r="B7" s="4"/>
      <c r="C7" s="198"/>
      <c r="D7" s="170" t="s">
        <v>300</v>
      </c>
      <c r="E7" s="112"/>
      <c r="F7" s="7"/>
      <c r="G7" s="7"/>
      <c r="H7" s="7"/>
      <c r="I7" s="7"/>
      <c r="J7" s="7"/>
      <c r="K7" s="7"/>
      <c r="L7" s="4"/>
    </row>
    <row r="8" spans="1:12" ht="14.45" customHeight="1">
      <c r="A8" s="4"/>
      <c r="B8" s="4"/>
      <c r="C8" s="198"/>
      <c r="D8" s="170" t="s">
        <v>301</v>
      </c>
      <c r="E8" s="112"/>
      <c r="F8" s="7"/>
      <c r="G8" s="7"/>
      <c r="H8" s="7"/>
      <c r="I8" s="7"/>
      <c r="J8" s="7"/>
      <c r="K8" s="7"/>
      <c r="L8" s="4"/>
    </row>
    <row r="9" spans="1:12" ht="14.45" customHeight="1">
      <c r="A9" s="4"/>
      <c r="B9" s="4"/>
      <c r="C9" s="198"/>
      <c r="D9" s="170" t="s">
        <v>0</v>
      </c>
      <c r="E9" s="112"/>
      <c r="F9" s="7"/>
      <c r="G9" s="7"/>
      <c r="H9" s="7"/>
      <c r="I9" s="7"/>
      <c r="J9" s="7"/>
      <c r="K9" s="7"/>
      <c r="L9" s="4"/>
    </row>
    <row r="10" spans="1:12" ht="14.45" customHeight="1">
      <c r="A10" s="4"/>
      <c r="B10" s="4"/>
      <c r="C10" s="198"/>
      <c r="D10" s="7"/>
      <c r="E10" s="7"/>
      <c r="F10" s="159"/>
      <c r="G10" s="159"/>
      <c r="H10" s="159"/>
      <c r="I10" s="159"/>
      <c r="J10" s="7"/>
      <c r="K10" s="7"/>
      <c r="L10" s="4"/>
    </row>
    <row r="11" spans="1:12">
      <c r="A11" s="4"/>
      <c r="B11" s="4"/>
      <c r="C11" s="8"/>
      <c r="D11" s="8"/>
      <c r="E11" s="8"/>
      <c r="F11" s="8"/>
      <c r="G11" s="8"/>
      <c r="H11" s="8"/>
      <c r="I11" s="8"/>
      <c r="J11" s="4"/>
      <c r="K11" s="4"/>
      <c r="L11" s="4"/>
    </row>
    <row r="12" spans="1:12">
      <c r="A12" s="4"/>
      <c r="B12" s="4"/>
      <c r="C12" s="54"/>
      <c r="D12" s="54"/>
      <c r="E12" s="54"/>
      <c r="F12" s="54"/>
      <c r="G12" s="54"/>
      <c r="H12" s="54"/>
      <c r="I12" s="54"/>
      <c r="J12" s="7"/>
      <c r="K12" s="7"/>
      <c r="L12" s="4"/>
    </row>
    <row r="13" spans="1:12">
      <c r="A13" s="4"/>
      <c r="B13" s="4"/>
      <c r="C13" s="54"/>
      <c r="D13" s="54"/>
      <c r="E13" s="54"/>
      <c r="F13" s="54"/>
      <c r="G13" s="54"/>
      <c r="H13" s="54"/>
      <c r="I13" s="54"/>
      <c r="J13" s="7"/>
      <c r="K13" s="7"/>
      <c r="L13" s="4"/>
    </row>
    <row r="14" spans="1:12">
      <c r="A14" s="4"/>
      <c r="B14" s="4"/>
      <c r="C14" s="54"/>
      <c r="D14" s="54"/>
      <c r="E14" s="54"/>
      <c r="F14" s="54"/>
      <c r="G14" s="54"/>
      <c r="H14" s="54"/>
      <c r="I14" s="54"/>
      <c r="J14" s="7"/>
      <c r="K14" s="7"/>
      <c r="L14" s="4"/>
    </row>
    <row r="15" spans="1:12">
      <c r="A15" s="4"/>
      <c r="B15" s="4"/>
      <c r="C15" s="54"/>
      <c r="D15" s="54"/>
      <c r="E15" s="54"/>
      <c r="F15" s="54"/>
      <c r="G15" s="54"/>
      <c r="H15" s="54"/>
      <c r="I15" s="54"/>
      <c r="J15" s="7"/>
      <c r="K15" s="7"/>
      <c r="L15" s="4"/>
    </row>
    <row r="16" spans="1:12">
      <c r="A16" s="4"/>
      <c r="B16" s="4"/>
      <c r="C16" s="54"/>
      <c r="D16" s="54"/>
      <c r="E16" s="54"/>
      <c r="F16" s="54"/>
      <c r="G16" s="54"/>
      <c r="H16" s="54"/>
      <c r="I16" s="54"/>
      <c r="J16" s="7"/>
      <c r="K16" s="7"/>
      <c r="L16" s="4"/>
    </row>
    <row r="17" spans="1:12">
      <c r="A17" s="4"/>
      <c r="B17" s="4"/>
      <c r="C17" s="8"/>
      <c r="D17" s="8"/>
      <c r="E17" s="8"/>
      <c r="F17" s="8"/>
      <c r="G17" s="8"/>
      <c r="H17" s="8"/>
      <c r="I17" s="8"/>
      <c r="J17" s="4"/>
      <c r="K17" s="4"/>
      <c r="L17" s="4"/>
    </row>
    <row r="18" spans="1:12">
      <c r="A18" s="4"/>
      <c r="B18" s="4"/>
      <c r="C18" s="7" t="s">
        <v>1673</v>
      </c>
      <c r="D18" s="7"/>
      <c r="E18" s="7"/>
      <c r="F18" s="7"/>
      <c r="G18" s="7"/>
      <c r="H18" s="54"/>
      <c r="I18" s="54"/>
      <c r="J18" s="7"/>
      <c r="K18" s="7"/>
      <c r="L18" s="4"/>
    </row>
    <row r="19" spans="1:12">
      <c r="A19" s="4"/>
      <c r="B19" s="4"/>
      <c r="C19" s="4"/>
      <c r="D19" s="8"/>
      <c r="E19" s="8"/>
      <c r="F19" s="8"/>
      <c r="G19" s="8"/>
      <c r="H19" s="8"/>
      <c r="I19" s="8"/>
      <c r="J19" s="4"/>
      <c r="K19" s="4"/>
      <c r="L19" s="4"/>
    </row>
    <row r="20" spans="1:12" ht="18.600000000000001">
      <c r="A20" s="101"/>
      <c r="B20" s="101"/>
      <c r="C20" s="102" t="s">
        <v>287</v>
      </c>
      <c r="D20" s="103"/>
      <c r="E20" s="103"/>
      <c r="F20" s="103"/>
      <c r="G20" s="103"/>
      <c r="H20" s="103"/>
      <c r="I20" s="103"/>
      <c r="J20" s="101"/>
      <c r="K20" s="101"/>
      <c r="L20" s="101"/>
    </row>
    <row r="21" spans="1:12" ht="18.600000000000001" outlineLevel="1">
      <c r="A21" s="101"/>
      <c r="B21" s="101"/>
      <c r="C21" s="102"/>
      <c r="D21" s="103"/>
      <c r="E21" s="103"/>
      <c r="F21" s="103"/>
      <c r="G21" s="103"/>
      <c r="H21" s="103"/>
      <c r="I21" s="103"/>
      <c r="J21" s="101"/>
      <c r="K21" s="101"/>
      <c r="L21" s="101"/>
    </row>
    <row r="22" spans="1:12" outlineLevel="1">
      <c r="A22" s="4"/>
      <c r="B22" s="4"/>
      <c r="C22" s="54"/>
      <c r="D22" s="54"/>
      <c r="E22" s="54"/>
      <c r="F22" s="54"/>
      <c r="G22" s="54"/>
      <c r="H22" s="54"/>
      <c r="I22" s="54"/>
      <c r="J22" s="7"/>
      <c r="K22" s="7"/>
      <c r="L22" s="4"/>
    </row>
    <row r="23" spans="1:12" outlineLevel="1">
      <c r="A23" s="4"/>
      <c r="B23" s="4"/>
      <c r="C23" s="7"/>
      <c r="D23" s="18" t="s">
        <v>601</v>
      </c>
      <c r="E23" s="18" t="s">
        <v>602</v>
      </c>
      <c r="F23" s="18" t="s">
        <v>1674</v>
      </c>
      <c r="G23" s="18" t="s">
        <v>1675</v>
      </c>
      <c r="H23" s="18" t="s">
        <v>299</v>
      </c>
      <c r="I23" s="18" t="s">
        <v>606</v>
      </c>
      <c r="J23" s="18" t="s">
        <v>824</v>
      </c>
      <c r="K23" s="7"/>
      <c r="L23" s="4"/>
    </row>
    <row r="24" spans="1:12" outlineLevel="1">
      <c r="A24" s="4"/>
      <c r="B24" s="4"/>
      <c r="C24" s="7"/>
      <c r="D24" s="18" t="s">
        <v>1676</v>
      </c>
      <c r="E24" s="18" t="s">
        <v>349</v>
      </c>
      <c r="F24" s="18" t="s">
        <v>1677</v>
      </c>
      <c r="G24" s="18"/>
      <c r="H24" s="18"/>
      <c r="I24" s="18"/>
      <c r="J24" s="18"/>
      <c r="K24" s="7"/>
      <c r="L24" s="4"/>
    </row>
    <row r="25" spans="1:12" outlineLevel="1">
      <c r="A25" s="4"/>
      <c r="B25" s="4"/>
      <c r="C25" s="7"/>
      <c r="D25" s="18" t="s">
        <v>1678</v>
      </c>
      <c r="E25" s="18" t="s">
        <v>349</v>
      </c>
      <c r="F25" s="18" t="s">
        <v>1679</v>
      </c>
      <c r="G25" s="84" t="s">
        <v>40</v>
      </c>
      <c r="H25" s="18"/>
      <c r="I25" s="18"/>
      <c r="J25" s="18"/>
      <c r="K25" s="7"/>
      <c r="L25" s="4"/>
    </row>
    <row r="26" spans="1:12" outlineLevel="1">
      <c r="A26" s="4"/>
      <c r="B26" s="4"/>
      <c r="C26" s="7"/>
      <c r="D26" s="18" t="s">
        <v>1680</v>
      </c>
      <c r="E26" s="18" t="s">
        <v>349</v>
      </c>
      <c r="F26" s="18" t="s">
        <v>1681</v>
      </c>
      <c r="G26" s="84" t="s">
        <v>1682</v>
      </c>
      <c r="H26" s="18"/>
      <c r="I26" s="18"/>
      <c r="J26" s="18"/>
      <c r="K26" s="7"/>
      <c r="L26" s="4"/>
    </row>
    <row r="27" spans="1:12" ht="29.1" outlineLevel="1">
      <c r="A27" s="4"/>
      <c r="B27" s="4"/>
      <c r="C27" s="7"/>
      <c r="D27" s="18" t="s">
        <v>1683</v>
      </c>
      <c r="E27" s="18" t="s">
        <v>349</v>
      </c>
      <c r="F27" s="18" t="s">
        <v>1684</v>
      </c>
      <c r="G27" s="84" t="s">
        <v>258</v>
      </c>
      <c r="H27" s="18"/>
      <c r="I27" s="18"/>
      <c r="J27" s="18"/>
      <c r="K27" s="7"/>
      <c r="L27" s="4"/>
    </row>
    <row r="28" spans="1:12" outlineLevel="1">
      <c r="A28" s="4"/>
      <c r="B28" s="4"/>
      <c r="C28" s="7"/>
      <c r="D28" s="18" t="s">
        <v>1685</v>
      </c>
      <c r="E28" s="18" t="s">
        <v>349</v>
      </c>
      <c r="F28" s="18" t="s">
        <v>1686</v>
      </c>
      <c r="G28" s="18"/>
      <c r="H28" s="18"/>
      <c r="I28" s="18"/>
      <c r="J28" s="18"/>
      <c r="K28" s="7"/>
      <c r="L28" s="4"/>
    </row>
    <row r="29" spans="1:12" ht="16.5" outlineLevel="1">
      <c r="A29" s="4"/>
      <c r="B29" s="4"/>
      <c r="C29" s="7"/>
      <c r="D29" s="18" t="s">
        <v>1687</v>
      </c>
      <c r="E29" s="18" t="s">
        <v>349</v>
      </c>
      <c r="F29" s="18" t="s">
        <v>1688</v>
      </c>
      <c r="G29" s="18"/>
      <c r="H29" s="18"/>
      <c r="I29" s="18"/>
      <c r="J29" s="18"/>
      <c r="K29" s="7"/>
      <c r="L29" s="4"/>
    </row>
    <row r="30" spans="1:12" outlineLevel="1">
      <c r="A30" s="4"/>
      <c r="B30" s="4"/>
      <c r="C30" s="7"/>
      <c r="D30" s="18" t="s">
        <v>1689</v>
      </c>
      <c r="E30" s="18" t="s">
        <v>349</v>
      </c>
      <c r="F30" s="18" t="s">
        <v>1690</v>
      </c>
      <c r="G30" s="18"/>
      <c r="H30" s="18"/>
      <c r="I30" s="18"/>
      <c r="J30" s="18"/>
      <c r="K30" s="7"/>
      <c r="L30" s="4"/>
    </row>
    <row r="31" spans="1:12" ht="43.5" outlineLevel="1">
      <c r="A31" s="4"/>
      <c r="B31" s="4"/>
      <c r="C31" s="7"/>
      <c r="D31" s="18" t="s">
        <v>1691</v>
      </c>
      <c r="E31" s="18" t="s">
        <v>349</v>
      </c>
      <c r="F31" s="18" t="s">
        <v>1692</v>
      </c>
      <c r="G31" s="84" t="s">
        <v>1693</v>
      </c>
      <c r="H31" s="18"/>
      <c r="I31" s="18"/>
      <c r="J31" s="18"/>
      <c r="K31" s="7"/>
      <c r="L31" s="4"/>
    </row>
    <row r="32" spans="1:12" outlineLevel="1">
      <c r="A32" s="4"/>
      <c r="B32" s="4"/>
      <c r="C32" s="7"/>
      <c r="D32" s="18" t="s">
        <v>1694</v>
      </c>
      <c r="E32" s="18" t="s">
        <v>349</v>
      </c>
      <c r="F32" s="18" t="s">
        <v>1695</v>
      </c>
      <c r="G32" s="18"/>
      <c r="H32" s="18"/>
      <c r="I32" s="18"/>
      <c r="J32" s="18"/>
      <c r="K32" s="7"/>
      <c r="L32" s="4"/>
    </row>
    <row r="33" spans="1:12" ht="57.95" outlineLevel="1">
      <c r="A33" s="4"/>
      <c r="B33" s="4"/>
      <c r="C33" s="7"/>
      <c r="D33" s="18" t="s">
        <v>1696</v>
      </c>
      <c r="E33" s="18" t="s">
        <v>349</v>
      </c>
      <c r="F33" s="18" t="s">
        <v>1697</v>
      </c>
      <c r="G33" s="18"/>
      <c r="H33" s="18"/>
      <c r="I33" s="18"/>
      <c r="J33" s="18" t="s">
        <v>1698</v>
      </c>
      <c r="K33" s="7"/>
      <c r="L33" s="4"/>
    </row>
    <row r="34" spans="1:12" ht="29.1" outlineLevel="1">
      <c r="A34" s="4"/>
      <c r="B34" s="4"/>
      <c r="C34" s="7"/>
      <c r="D34" s="18" t="s">
        <v>1699</v>
      </c>
      <c r="E34" s="18" t="s">
        <v>349</v>
      </c>
      <c r="F34" s="18" t="s">
        <v>1700</v>
      </c>
      <c r="G34" s="254" t="s">
        <v>1701</v>
      </c>
      <c r="H34" s="18"/>
      <c r="I34" s="18"/>
      <c r="J34" s="18"/>
      <c r="K34" s="7"/>
      <c r="L34" s="4"/>
    </row>
    <row r="35" spans="1:12" outlineLevel="1">
      <c r="A35" s="4"/>
      <c r="B35" s="4"/>
      <c r="C35" s="7"/>
      <c r="D35" s="18" t="s">
        <v>1702</v>
      </c>
      <c r="E35" s="18" t="s">
        <v>349</v>
      </c>
      <c r="F35" s="18" t="s">
        <v>1703</v>
      </c>
      <c r="G35" s="254" t="s">
        <v>271</v>
      </c>
      <c r="H35" s="18"/>
      <c r="I35" s="18"/>
      <c r="J35" s="18"/>
      <c r="K35" s="7"/>
      <c r="L35" s="4"/>
    </row>
    <row r="36" spans="1:12" outlineLevel="1">
      <c r="A36" s="4"/>
      <c r="B36" s="4"/>
      <c r="C36" s="7"/>
      <c r="D36" s="18" t="s">
        <v>1704</v>
      </c>
      <c r="E36" s="18" t="s">
        <v>349</v>
      </c>
      <c r="F36" s="16" t="s">
        <v>1705</v>
      </c>
      <c r="G36" s="84" t="s">
        <v>1682</v>
      </c>
      <c r="H36" s="18"/>
      <c r="I36" s="18"/>
      <c r="J36" s="18"/>
      <c r="K36" s="7"/>
      <c r="L36" s="4"/>
    </row>
    <row r="37" spans="1:12" outlineLevel="1">
      <c r="A37" s="4"/>
      <c r="B37" s="4"/>
      <c r="C37" s="7"/>
      <c r="D37" s="18" t="s">
        <v>1706</v>
      </c>
      <c r="E37" s="18" t="s">
        <v>643</v>
      </c>
      <c r="F37" s="18" t="s">
        <v>1707</v>
      </c>
      <c r="G37" s="18"/>
      <c r="H37" s="18"/>
      <c r="I37" s="18"/>
      <c r="J37" s="18"/>
      <c r="K37" s="7"/>
      <c r="L37" s="4"/>
    </row>
    <row r="38" spans="1:12" ht="43.5" outlineLevel="1">
      <c r="A38" s="4"/>
      <c r="B38" s="4"/>
      <c r="C38" s="7"/>
      <c r="D38" s="18" t="s">
        <v>1708</v>
      </c>
      <c r="E38" s="18" t="s">
        <v>643</v>
      </c>
      <c r="F38" s="18" t="s">
        <v>1709</v>
      </c>
      <c r="G38" s="84" t="s">
        <v>1693</v>
      </c>
      <c r="H38" s="18"/>
      <c r="I38" s="18"/>
      <c r="J38" s="18"/>
      <c r="K38" s="7"/>
      <c r="L38" s="4"/>
    </row>
    <row r="39" spans="1:12" outlineLevel="1">
      <c r="A39" s="4"/>
      <c r="B39" s="4"/>
      <c r="C39" s="7"/>
      <c r="D39" s="18" t="s">
        <v>1710</v>
      </c>
      <c r="E39" s="18" t="s">
        <v>643</v>
      </c>
      <c r="F39" s="18" t="s">
        <v>1711</v>
      </c>
      <c r="G39" s="18"/>
      <c r="H39" s="18"/>
      <c r="I39" s="18"/>
      <c r="J39" s="18"/>
      <c r="K39" s="7"/>
      <c r="L39" s="4"/>
    </row>
    <row r="40" spans="1:12" outlineLevel="1">
      <c r="A40" s="4"/>
      <c r="B40" s="4"/>
      <c r="C40" s="7"/>
      <c r="D40" s="18" t="s">
        <v>1712</v>
      </c>
      <c r="E40" s="18" t="s">
        <v>643</v>
      </c>
      <c r="F40" s="18" t="s">
        <v>1713</v>
      </c>
      <c r="G40" s="84" t="s">
        <v>17</v>
      </c>
      <c r="H40" s="18"/>
      <c r="I40" s="18"/>
      <c r="J40" s="18"/>
      <c r="K40" s="7"/>
      <c r="L40" s="4"/>
    </row>
    <row r="41" spans="1:12" ht="29.1" outlineLevel="1">
      <c r="A41" s="4"/>
      <c r="B41" s="4"/>
      <c r="C41" s="7"/>
      <c r="D41" s="18" t="s">
        <v>1714</v>
      </c>
      <c r="E41" s="18" t="s">
        <v>643</v>
      </c>
      <c r="F41" s="18" t="s">
        <v>1715</v>
      </c>
      <c r="G41" s="84" t="s">
        <v>258</v>
      </c>
      <c r="H41" s="18"/>
      <c r="I41" s="18"/>
      <c r="J41" s="18"/>
      <c r="K41" s="7"/>
      <c r="L41" s="4"/>
    </row>
    <row r="42" spans="1:12" outlineLevel="1">
      <c r="A42" s="4"/>
      <c r="B42" s="4"/>
      <c r="C42" s="7"/>
      <c r="D42" s="18" t="s">
        <v>1716</v>
      </c>
      <c r="E42" s="18" t="s">
        <v>643</v>
      </c>
      <c r="F42" s="18" t="s">
        <v>1717</v>
      </c>
      <c r="G42" s="367"/>
      <c r="H42" s="18"/>
      <c r="I42" s="18"/>
      <c r="J42" s="18"/>
      <c r="K42" s="7"/>
      <c r="L42" s="4"/>
    </row>
    <row r="43" spans="1:12" ht="72.599999999999994" outlineLevel="1">
      <c r="A43" s="4"/>
      <c r="B43" s="4"/>
      <c r="C43" s="7"/>
      <c r="D43" s="18" t="s">
        <v>1718</v>
      </c>
      <c r="E43" s="18" t="s">
        <v>643</v>
      </c>
      <c r="F43" s="18" t="s">
        <v>1719</v>
      </c>
      <c r="G43" s="84" t="s">
        <v>54</v>
      </c>
      <c r="H43" s="18"/>
      <c r="I43" s="18"/>
      <c r="J43" s="18" t="s">
        <v>1720</v>
      </c>
      <c r="K43" s="7"/>
      <c r="L43" s="4"/>
    </row>
    <row r="44" spans="1:12" ht="29.1" outlineLevel="1">
      <c r="A44" s="4"/>
      <c r="B44" s="4"/>
      <c r="C44" s="7"/>
      <c r="D44" s="18" t="s">
        <v>1721</v>
      </c>
      <c r="E44" s="18" t="s">
        <v>643</v>
      </c>
      <c r="F44" s="18" t="s">
        <v>1722</v>
      </c>
      <c r="G44" s="84" t="s">
        <v>54</v>
      </c>
      <c r="H44" s="18"/>
      <c r="I44" s="18"/>
      <c r="J44" s="18"/>
      <c r="K44" s="7"/>
      <c r="L44" s="4"/>
    </row>
    <row r="45" spans="1:12" ht="29.1" outlineLevel="1">
      <c r="A45" s="4"/>
      <c r="B45" s="4"/>
      <c r="C45" s="7"/>
      <c r="D45" s="18" t="s">
        <v>1723</v>
      </c>
      <c r="E45" s="18" t="s">
        <v>643</v>
      </c>
      <c r="F45" s="18" t="s">
        <v>1724</v>
      </c>
      <c r="G45" s="254" t="s">
        <v>1701</v>
      </c>
      <c r="H45" s="18"/>
      <c r="I45" s="18"/>
      <c r="J45" s="18" t="s">
        <v>1725</v>
      </c>
      <c r="K45" s="7"/>
      <c r="L45" s="4"/>
    </row>
    <row r="46" spans="1:12" outlineLevel="1">
      <c r="A46" s="4"/>
      <c r="B46" s="4"/>
      <c r="C46" s="7"/>
      <c r="D46" s="18" t="s">
        <v>1726</v>
      </c>
      <c r="E46" s="18" t="s">
        <v>643</v>
      </c>
      <c r="F46" s="16" t="s">
        <v>1727</v>
      </c>
      <c r="G46" s="84" t="s">
        <v>1728</v>
      </c>
      <c r="H46" s="18"/>
      <c r="I46" s="18"/>
      <c r="J46" s="18"/>
      <c r="K46" s="7"/>
      <c r="L46" s="4"/>
    </row>
    <row r="47" spans="1:12" outlineLevel="1">
      <c r="A47" s="4"/>
      <c r="B47" s="4"/>
      <c r="C47" s="7"/>
      <c r="D47" s="18" t="s">
        <v>1729</v>
      </c>
      <c r="E47" s="18" t="s">
        <v>643</v>
      </c>
      <c r="F47" s="16" t="s">
        <v>1730</v>
      </c>
      <c r="G47" s="84" t="s">
        <v>271</v>
      </c>
      <c r="H47" s="18"/>
      <c r="I47" s="18"/>
      <c r="J47" s="18"/>
      <c r="K47" s="7"/>
      <c r="L47" s="4"/>
    </row>
    <row r="48" spans="1:12" outlineLevel="1">
      <c r="A48" s="4"/>
      <c r="B48" s="4"/>
      <c r="C48" s="7"/>
      <c r="D48" s="18" t="s">
        <v>1731</v>
      </c>
      <c r="E48" s="18" t="s">
        <v>643</v>
      </c>
      <c r="F48" s="18" t="s">
        <v>1732</v>
      </c>
      <c r="G48" s="18"/>
      <c r="H48" s="18"/>
      <c r="I48" s="18"/>
      <c r="J48" s="18"/>
      <c r="K48" s="7"/>
      <c r="L48" s="4"/>
    </row>
    <row r="49" spans="1:12" outlineLevel="1">
      <c r="A49" s="4"/>
      <c r="B49" s="4"/>
      <c r="C49" s="7"/>
      <c r="D49" s="18" t="s">
        <v>1733</v>
      </c>
      <c r="E49" s="18" t="s">
        <v>119</v>
      </c>
      <c r="F49" s="18" t="s">
        <v>1734</v>
      </c>
      <c r="G49" s="18"/>
      <c r="H49" s="18"/>
      <c r="I49" s="18"/>
      <c r="J49" s="18"/>
      <c r="K49" s="7"/>
      <c r="L49" s="4"/>
    </row>
    <row r="50" spans="1:12" outlineLevel="1">
      <c r="A50" s="4"/>
      <c r="B50" s="4"/>
      <c r="C50" s="7"/>
      <c r="D50" s="18" t="s">
        <v>1735</v>
      </c>
      <c r="E50" s="18" t="s">
        <v>119</v>
      </c>
      <c r="F50" s="18" t="s">
        <v>1736</v>
      </c>
      <c r="G50" s="18"/>
      <c r="H50" s="18"/>
      <c r="I50" s="18"/>
      <c r="J50" s="18"/>
      <c r="K50" s="7"/>
      <c r="L50" s="4"/>
    </row>
    <row r="51" spans="1:12" outlineLevel="1">
      <c r="A51" s="4"/>
      <c r="B51" s="4"/>
      <c r="C51" s="7"/>
      <c r="D51" s="18" t="s">
        <v>1737</v>
      </c>
      <c r="E51" s="18" t="s">
        <v>185</v>
      </c>
      <c r="F51" s="18" t="s">
        <v>1738</v>
      </c>
      <c r="G51" s="18"/>
      <c r="H51" s="18"/>
      <c r="I51" s="18"/>
      <c r="J51" s="18"/>
      <c r="K51" s="7"/>
      <c r="L51" s="4"/>
    </row>
    <row r="52" spans="1:12" outlineLevel="1">
      <c r="A52" s="4"/>
      <c r="B52" s="4"/>
      <c r="C52" s="7"/>
      <c r="D52" s="18" t="s">
        <v>1739</v>
      </c>
      <c r="E52" s="18" t="s">
        <v>185</v>
      </c>
      <c r="F52" s="18" t="s">
        <v>1740</v>
      </c>
      <c r="G52" s="18"/>
      <c r="H52" s="18"/>
      <c r="I52" s="18"/>
      <c r="J52" s="18"/>
      <c r="K52" s="7"/>
      <c r="L52" s="4"/>
    </row>
    <row r="53" spans="1:12" outlineLevel="1">
      <c r="A53" s="4"/>
      <c r="B53" s="4"/>
      <c r="C53" s="7"/>
      <c r="D53" s="18" t="s">
        <v>1741</v>
      </c>
      <c r="E53" s="18" t="s">
        <v>351</v>
      </c>
      <c r="F53" s="18" t="s">
        <v>1742</v>
      </c>
      <c r="G53" s="18"/>
      <c r="H53" s="18"/>
      <c r="I53" s="18"/>
      <c r="J53" s="18" t="s">
        <v>1743</v>
      </c>
      <c r="K53" s="7"/>
      <c r="L53" s="4"/>
    </row>
    <row r="54" spans="1:12" outlineLevel="1">
      <c r="A54" s="4"/>
      <c r="B54" s="4"/>
      <c r="C54" s="7"/>
      <c r="D54" s="18" t="s">
        <v>1744</v>
      </c>
      <c r="E54" s="18" t="s">
        <v>351</v>
      </c>
      <c r="F54" s="18" t="s">
        <v>1745</v>
      </c>
      <c r="G54" s="18"/>
      <c r="H54" s="18"/>
      <c r="I54" s="18"/>
      <c r="J54" s="18" t="s">
        <v>1743</v>
      </c>
      <c r="K54" s="7"/>
      <c r="L54" s="4"/>
    </row>
    <row r="55" spans="1:12" outlineLevel="1">
      <c r="A55" s="4"/>
      <c r="B55" s="4"/>
      <c r="C55" s="7"/>
      <c r="D55" s="18" t="s">
        <v>1746</v>
      </c>
      <c r="E55" s="18" t="s">
        <v>351</v>
      </c>
      <c r="F55" s="18" t="s">
        <v>1747</v>
      </c>
      <c r="G55" s="18"/>
      <c r="H55" s="18"/>
      <c r="I55" s="18"/>
      <c r="J55" s="18" t="s">
        <v>1743</v>
      </c>
      <c r="K55" s="7"/>
      <c r="L55" s="4"/>
    </row>
    <row r="56" spans="1:12" outlineLevel="1">
      <c r="A56" s="4"/>
      <c r="B56" s="4"/>
      <c r="C56" s="7"/>
      <c r="D56" s="18" t="s">
        <v>1748</v>
      </c>
      <c r="E56" s="18" t="s">
        <v>351</v>
      </c>
      <c r="F56" s="18" t="s">
        <v>1749</v>
      </c>
      <c r="G56" s="18"/>
      <c r="H56" s="18"/>
      <c r="I56" s="18"/>
      <c r="J56" s="18" t="s">
        <v>1743</v>
      </c>
      <c r="K56" s="7"/>
      <c r="L56" s="4"/>
    </row>
    <row r="57" spans="1:12" outlineLevel="1">
      <c r="A57" s="4"/>
      <c r="B57" s="4"/>
      <c r="C57" s="7"/>
      <c r="D57" s="18" t="s">
        <v>1750</v>
      </c>
      <c r="E57" s="18" t="s">
        <v>732</v>
      </c>
      <c r="F57" s="18" t="s">
        <v>1751</v>
      </c>
      <c r="G57" s="18"/>
      <c r="H57" s="18"/>
      <c r="I57" s="18"/>
      <c r="J57" s="18"/>
      <c r="K57" s="7"/>
      <c r="L57" s="4"/>
    </row>
    <row r="58" spans="1:12" outlineLevel="1">
      <c r="A58" s="4"/>
      <c r="B58" s="4"/>
      <c r="C58" s="7"/>
      <c r="D58" s="18" t="s">
        <v>1752</v>
      </c>
      <c r="E58" s="18" t="s">
        <v>732</v>
      </c>
      <c r="F58" s="18" t="s">
        <v>1753</v>
      </c>
      <c r="G58" s="18"/>
      <c r="H58" s="18"/>
      <c r="I58" s="18"/>
      <c r="J58" s="18" t="s">
        <v>1754</v>
      </c>
      <c r="K58" s="7"/>
      <c r="L58" s="4"/>
    </row>
    <row r="59" spans="1:12" ht="29.1" outlineLevel="1">
      <c r="A59" s="4"/>
      <c r="B59" s="4"/>
      <c r="C59" s="7"/>
      <c r="D59" s="18" t="s">
        <v>1755</v>
      </c>
      <c r="E59" s="18" t="s">
        <v>751</v>
      </c>
      <c r="F59" s="18" t="s">
        <v>1756</v>
      </c>
      <c r="G59" s="254" t="s">
        <v>1757</v>
      </c>
      <c r="H59" s="18"/>
      <c r="I59" s="18"/>
      <c r="J59" s="18" t="s">
        <v>1758</v>
      </c>
      <c r="K59" s="7"/>
      <c r="L59" s="4"/>
    </row>
    <row r="60" spans="1:12" ht="29.1" outlineLevel="1">
      <c r="A60" s="4"/>
      <c r="B60" s="4"/>
      <c r="C60" s="7"/>
      <c r="D60" s="18" t="s">
        <v>1759</v>
      </c>
      <c r="E60" s="18" t="s">
        <v>751</v>
      </c>
      <c r="F60" s="18" t="s">
        <v>1760</v>
      </c>
      <c r="G60" s="18"/>
      <c r="H60" s="18"/>
      <c r="I60" s="18"/>
      <c r="J60" s="18"/>
      <c r="K60" s="7"/>
      <c r="L60" s="4"/>
    </row>
    <row r="61" spans="1:12" outlineLevel="1">
      <c r="A61" s="4"/>
      <c r="B61" s="4"/>
      <c r="C61" s="7"/>
      <c r="D61" s="7"/>
      <c r="E61" s="7"/>
      <c r="F61" s="7"/>
      <c r="G61" s="7"/>
      <c r="H61" s="7"/>
      <c r="I61" s="7"/>
      <c r="J61" s="7"/>
      <c r="K61" s="7"/>
      <c r="L61" s="4"/>
    </row>
    <row r="62" spans="1:12">
      <c r="A62" s="4"/>
      <c r="B62" s="4"/>
      <c r="C62" s="4"/>
      <c r="D62" s="4"/>
      <c r="E62" s="4"/>
      <c r="F62" s="4"/>
      <c r="G62" s="4"/>
      <c r="H62" s="4"/>
      <c r="I62" s="4"/>
      <c r="J62" s="4"/>
      <c r="K62" s="4"/>
      <c r="L62" s="4"/>
    </row>
    <row r="63" spans="1:12" ht="18.600000000000001">
      <c r="A63" s="102"/>
      <c r="B63" s="102"/>
      <c r="C63" s="102" t="s">
        <v>78</v>
      </c>
      <c r="D63" s="102"/>
      <c r="E63" s="102"/>
      <c r="F63" s="102"/>
      <c r="G63" s="102"/>
      <c r="H63" s="102"/>
      <c r="I63" s="102"/>
      <c r="J63" s="102"/>
      <c r="K63" s="102"/>
      <c r="L63" s="102"/>
    </row>
    <row r="64" spans="1:12" outlineLevel="1">
      <c r="A64" s="4"/>
      <c r="B64" s="4"/>
      <c r="C64" s="4"/>
      <c r="D64" s="4"/>
      <c r="E64" s="4"/>
      <c r="F64" s="4"/>
      <c r="G64" s="4"/>
      <c r="H64" s="4"/>
      <c r="I64" s="4"/>
      <c r="J64" s="4"/>
      <c r="K64" s="4"/>
      <c r="L64" s="4"/>
    </row>
    <row r="65" spans="1:12" ht="16.5" outlineLevel="1">
      <c r="A65" s="4"/>
      <c r="B65" s="4"/>
      <c r="C65" s="169"/>
      <c r="D65" s="644" t="s">
        <v>793</v>
      </c>
      <c r="E65" s="644"/>
      <c r="F65" s="644"/>
      <c r="G65" s="1"/>
      <c r="H65" s="7"/>
      <c r="I65" s="7"/>
      <c r="J65" s="7"/>
      <c r="K65" s="7"/>
      <c r="L65" s="4"/>
    </row>
    <row r="66" spans="1:12" ht="16.5" outlineLevel="1">
      <c r="A66" s="4"/>
      <c r="B66" s="4"/>
      <c r="C66" s="169">
        <v>1</v>
      </c>
      <c r="D66" s="7" t="s">
        <v>1761</v>
      </c>
      <c r="E66" s="7"/>
      <c r="F66" s="7"/>
      <c r="G66" s="7"/>
      <c r="H66" s="7"/>
      <c r="I66" s="7"/>
      <c r="J66" s="7"/>
      <c r="K66" s="7"/>
      <c r="L66" s="4"/>
    </row>
    <row r="67" spans="1:12" ht="16.5" outlineLevel="1">
      <c r="A67" s="4"/>
      <c r="B67" s="4"/>
      <c r="C67" s="169">
        <v>2</v>
      </c>
      <c r="D67" s="1" t="s">
        <v>1762</v>
      </c>
      <c r="E67" s="7"/>
      <c r="F67" s="7"/>
      <c r="G67" s="7"/>
      <c r="H67" s="7"/>
      <c r="I67" s="7"/>
      <c r="J67" s="7"/>
      <c r="K67" s="7"/>
      <c r="L67" s="4"/>
    </row>
    <row r="68" spans="1:12">
      <c r="A68" s="4"/>
      <c r="B68" s="4"/>
      <c r="C68" s="4"/>
      <c r="D68" s="4"/>
      <c r="E68" s="4"/>
      <c r="F68" s="4"/>
      <c r="G68" s="4"/>
      <c r="H68" s="4"/>
      <c r="I68" s="4"/>
      <c r="J68" s="4"/>
      <c r="K68" s="4"/>
      <c r="L68" s="4"/>
    </row>
  </sheetData>
  <mergeCells count="3">
    <mergeCell ref="C2:K2"/>
    <mergeCell ref="C3:K3"/>
    <mergeCell ref="D65:F65"/>
  </mergeCells>
  <phoneticPr fontId="1" type="noConversion"/>
  <hyperlinks>
    <hyperlink ref="D65:F65" r:id="rId1" display="Microsoft Well-Architected Framework Assessments" xr:uid="{BD1EC6B5-F0C2-497E-AE14-1F3F27A6B9AD}"/>
    <hyperlink ref="D67" r:id="rId2" location="iso:std:iso:22301:ed-2:v1:en" display="https://www.iso.org/obp/ui/ - iso:std:iso:22301:ed-2:v1:en" xr:uid="{AD3955AE-47CE-473D-B801-97228A6446A3}"/>
    <hyperlink ref="G46" location="'5 Business Critical Calendar'!A1" display="BCC" xr:uid="{15B097C8-8F4D-4CC5-9E6E-667EC88B8932}"/>
    <hyperlink ref="G47" location="'5 Dashboard'!A1" display="Dashboard" xr:uid="{33722A69-FA8E-4FE3-B050-F7083DCCC9CD}"/>
    <hyperlink ref="G36" location="'5 BIA | Portfolio Summary'!A1" display="BIA Portfolio" xr:uid="{6E60E435-8B1E-49DC-8EC2-F8B6F6FFAB93}"/>
    <hyperlink ref="G40" location="'2 Service Map'!A1" display="Service Map" xr:uid="{B91862D7-95C3-46BA-B59C-9F901E5A45E7}"/>
    <hyperlink ref="G25" location="'5 Risk'!A1" display="Risk" xr:uid="{05FF90FC-72AD-44CB-89DB-E1758AA79DCE}"/>
    <hyperlink ref="G26" location="'5 BIA | Portfolio Summary'!A1" display="BIA Portfolio" xr:uid="{8C1F935A-B94D-4527-BC10-2034C47476CC}"/>
    <hyperlink ref="G27" location="'3 Contingency Plan'!A1" display="Contingency Plan" xr:uid="{910A1437-8C0F-4D3A-89B4-C05B64A2E88C}"/>
    <hyperlink ref="G41" location="'3 Contingency Plan'!A1" display="Contingency Plan" xr:uid="{FC6F8400-2914-4CC2-836D-50E453101B9D}"/>
    <hyperlink ref="G43" location="'3 Role Assignment'!A1" display="RACI" xr:uid="{E8F1522D-D0FB-4B40-A942-07392E3BEB95}"/>
    <hyperlink ref="G31" location="'5 Multi-App Continuity'!A1" display="Multiple Application Continuity" xr:uid="{246A7B28-FFA8-48DB-961C-E5B8C5E47CAE}"/>
    <hyperlink ref="G38" location="'5 Multi-App Continuity'!A1" display="Multiple Application Continuity" xr:uid="{7012F17F-028A-43F4-BC8E-8F068B9E7CF1}"/>
    <hyperlink ref="G45" location="'4 App Outage Communication'!A1" display="'4 App Outage Communication'!A1" xr:uid="{62E0CCA0-883A-4351-8AE9-892C5E11A59A}"/>
    <hyperlink ref="G44" location="'3 Role Assignment'!A1" display="RACI" xr:uid="{B6342C35-B621-4FA7-8C24-567C0A810F7F}"/>
    <hyperlink ref="G59" location="'4 Test Summary'!A1" display="Test  Summary" xr:uid="{0C57C598-2223-4F79-808F-B15399A53D00}"/>
    <hyperlink ref="G34" location="'4 App Outage Communication'!A1" display="'4 App Outage Communication'!A1" xr:uid="{538E8B71-01DF-4DBF-86A9-BAB70768AF37}"/>
    <hyperlink ref="G35" location="'5 Dashboard'!A1" display="'5 Dashboard'!A1" xr:uid="{3491A504-E211-47D7-B807-1BE62506EA80}"/>
  </hyperlinks>
  <pageMargins left="0.7" right="0.7" top="0.75" bottom="0.75" header="0.3" footer="0.3"/>
  <pageSetup orientation="portrait" r:id="rId3"/>
  <drawing r:id="rId4"/>
  <tableParts count="1">
    <tablePart r:id="rId5"/>
  </tableParts>
  <extLst>
    <ext xmlns:x14="http://schemas.microsoft.com/office/spreadsheetml/2009/9/main" uri="{CCE6A557-97BC-4b89-ADB6-D9C93CAAB3DF}">
      <x14:dataValidations xmlns:xm="http://schemas.microsoft.com/office/excel/2006/main" count="2">
        <x14:dataValidation type="list" allowBlank="1" showInputMessage="1" showErrorMessage="1" xr:uid="{2B0ABC6C-3FD3-4BFF-B79D-504AC2471664}">
          <x14:formula1>
            <xm:f>Data!$C$36:$C$47</xm:f>
          </x14:formula1>
          <xm:sqref>H24:I60</xm:sqref>
        </x14:dataValidation>
        <x14:dataValidation type="list" allowBlank="1" showInputMessage="1" showErrorMessage="1" xr:uid="{02B29604-4CBC-4E57-9AF9-63A5DF7B9E73}">
          <x14:formula1>
            <xm:f>Data!$J$5:$J$13</xm:f>
          </x14:formula1>
          <xm:sqref>E24:E60</xm:sqref>
        </x14:dataValidation>
      </x14:dataValidations>
    </ext>
    <ext xmlns:x15="http://schemas.microsoft.com/office/spreadsheetml/2010/11/main" uri="{3A4CF648-6AED-40f4-86FF-DC5316D8AED3}">
      <x14:slicerList xmlns:x14="http://schemas.microsoft.com/office/spreadsheetml/2009/9/main">
        <x14:slicer r:id="rId6"/>
      </x14:slicerList>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267B18-992A-4C1C-A0AA-A0CEB1E0B914}">
  <sheetPr>
    <tabColor rgb="FF737373"/>
  </sheetPr>
  <dimension ref="A1:P43"/>
  <sheetViews>
    <sheetView showGridLines="0" showRowColHeaders="0" zoomScale="85" zoomScaleNormal="85" workbookViewId="0">
      <selection activeCell="A6" sqref="A6"/>
    </sheetView>
  </sheetViews>
  <sheetFormatPr defaultColWidth="0" defaultRowHeight="14.45" zeroHeight="1" outlineLevelRow="1"/>
  <cols>
    <col min="1" max="2" width="5.85546875" customWidth="1"/>
    <col min="3" max="3" width="3.85546875" customWidth="1"/>
    <col min="4" max="4" width="17.5703125" customWidth="1"/>
    <col min="5" max="5" width="30.140625" customWidth="1"/>
    <col min="6" max="6" width="41.7109375" bestFit="1" customWidth="1"/>
    <col min="7" max="8" width="34.140625" customWidth="1"/>
    <col min="9" max="9" width="19.42578125" bestFit="1" customWidth="1"/>
    <col min="10" max="10" width="30.5703125" bestFit="1" customWidth="1"/>
    <col min="11" max="11" width="60.7109375" bestFit="1" customWidth="1"/>
    <col min="12" max="12" width="55.42578125" customWidth="1"/>
    <col min="13" max="13" width="13.85546875" bestFit="1" customWidth="1"/>
    <col min="14" max="14" width="14.140625" bestFit="1" customWidth="1"/>
    <col min="15" max="15" width="13.140625" bestFit="1" customWidth="1"/>
    <col min="16" max="16" width="3.85546875" customWidth="1"/>
    <col min="17" max="16384" width="63.42578125" hidden="1"/>
  </cols>
  <sheetData>
    <row r="1" spans="1:16">
      <c r="A1" s="4"/>
      <c r="B1" s="4"/>
      <c r="C1" s="4"/>
      <c r="D1" s="4"/>
      <c r="E1" s="4"/>
      <c r="F1" s="4"/>
      <c r="G1" s="4"/>
      <c r="H1" s="4"/>
      <c r="I1" s="4"/>
      <c r="J1" s="4"/>
      <c r="K1" s="4"/>
      <c r="L1" s="4"/>
      <c r="M1" s="4"/>
      <c r="N1" s="4"/>
      <c r="O1" s="4"/>
      <c r="P1" s="4"/>
    </row>
    <row r="2" spans="1:16" ht="21">
      <c r="A2" s="4"/>
      <c r="B2" s="4"/>
      <c r="C2" s="618" t="s">
        <v>1763</v>
      </c>
      <c r="D2" s="618"/>
      <c r="E2" s="618"/>
      <c r="F2" s="618"/>
      <c r="G2" s="618"/>
      <c r="H2" s="618"/>
      <c r="I2" s="618"/>
      <c r="J2" s="618"/>
      <c r="K2" s="618"/>
      <c r="L2" s="618"/>
      <c r="M2" s="618"/>
      <c r="N2" s="181"/>
      <c r="O2" s="181"/>
      <c r="P2" s="4"/>
    </row>
    <row r="3" spans="1:16">
      <c r="A3" s="4"/>
      <c r="B3" s="4"/>
      <c r="C3" s="646" t="s">
        <v>1764</v>
      </c>
      <c r="D3" s="646"/>
      <c r="E3" s="646"/>
      <c r="F3" s="646"/>
      <c r="G3" s="646"/>
      <c r="H3" s="646"/>
      <c r="I3" s="646"/>
      <c r="J3" s="646"/>
      <c r="K3" s="646"/>
      <c r="L3" s="646"/>
      <c r="M3" s="646"/>
      <c r="N3" s="182"/>
      <c r="O3" s="182"/>
      <c r="P3" s="4"/>
    </row>
    <row r="4" spans="1:16">
      <c r="A4" s="4"/>
      <c r="B4" s="4"/>
      <c r="C4" s="4"/>
      <c r="D4" s="4"/>
      <c r="E4" s="4"/>
      <c r="F4" s="4"/>
      <c r="G4" s="4"/>
      <c r="H4" s="4"/>
      <c r="I4" s="4"/>
      <c r="J4" s="4"/>
      <c r="K4" s="4"/>
      <c r="L4" s="4"/>
      <c r="M4" s="4"/>
      <c r="N4" s="4"/>
      <c r="O4" s="4"/>
      <c r="P4" s="4"/>
    </row>
    <row r="5" spans="1:16">
      <c r="A5" s="4"/>
      <c r="B5" s="4"/>
      <c r="C5" s="7"/>
      <c r="D5" s="54"/>
      <c r="E5" s="54"/>
      <c r="F5" s="54"/>
      <c r="G5" s="54"/>
      <c r="H5" s="54"/>
      <c r="I5" s="54"/>
      <c r="J5" s="54"/>
      <c r="K5" s="54"/>
      <c r="L5" s="54"/>
      <c r="M5" s="54"/>
      <c r="N5" s="54"/>
      <c r="O5" s="54"/>
      <c r="P5" s="8"/>
    </row>
    <row r="6" spans="1:16">
      <c r="A6" s="4"/>
      <c r="B6" s="4"/>
      <c r="C6" s="7"/>
      <c r="D6" s="170" t="s">
        <v>299</v>
      </c>
      <c r="E6" s="170"/>
      <c r="F6" s="112"/>
      <c r="G6" s="7"/>
      <c r="H6" s="7"/>
      <c r="I6" s="7"/>
      <c r="J6" s="7"/>
      <c r="K6" s="7"/>
      <c r="L6" s="7"/>
      <c r="M6" s="54"/>
      <c r="N6" s="54"/>
      <c r="O6" s="54"/>
      <c r="P6" s="8"/>
    </row>
    <row r="7" spans="1:16">
      <c r="A7" s="4"/>
      <c r="B7" s="4"/>
      <c r="C7" s="7"/>
      <c r="D7" s="170" t="s">
        <v>300</v>
      </c>
      <c r="E7" s="170"/>
      <c r="F7" s="112"/>
      <c r="G7" s="7"/>
      <c r="H7" s="7"/>
      <c r="I7" s="7"/>
      <c r="J7" s="7"/>
      <c r="K7" s="7"/>
      <c r="L7" s="7"/>
      <c r="M7" s="54"/>
      <c r="N7" s="54"/>
      <c r="O7" s="54"/>
      <c r="P7" s="8"/>
    </row>
    <row r="8" spans="1:16">
      <c r="A8" s="4"/>
      <c r="B8" s="4"/>
      <c r="C8" s="7"/>
      <c r="D8" s="170" t="s">
        <v>301</v>
      </c>
      <c r="E8" s="170"/>
      <c r="F8" s="112"/>
      <c r="G8" s="7"/>
      <c r="H8" s="7"/>
      <c r="I8" s="7"/>
      <c r="J8" s="7"/>
      <c r="K8" s="7"/>
      <c r="L8" s="7"/>
      <c r="M8" s="54"/>
      <c r="N8" s="54"/>
      <c r="O8" s="54"/>
      <c r="P8" s="8"/>
    </row>
    <row r="9" spans="1:16">
      <c r="A9" s="4"/>
      <c r="B9" s="4"/>
      <c r="C9" s="7"/>
      <c r="D9" s="170" t="s">
        <v>0</v>
      </c>
      <c r="E9" s="170"/>
      <c r="F9" s="112"/>
      <c r="G9" s="7"/>
      <c r="H9" s="7"/>
      <c r="I9" s="7"/>
      <c r="J9" s="7"/>
      <c r="K9" s="7"/>
      <c r="L9" s="7"/>
      <c r="M9" s="54"/>
      <c r="N9" s="54"/>
      <c r="O9" s="54"/>
      <c r="P9" s="8"/>
    </row>
    <row r="10" spans="1:16">
      <c r="A10" s="4"/>
      <c r="B10" s="4"/>
      <c r="C10" s="7"/>
      <c r="D10" s="7"/>
      <c r="E10" s="7"/>
      <c r="F10" s="7"/>
      <c r="G10" s="7"/>
      <c r="H10" s="7"/>
      <c r="I10" s="7"/>
      <c r="J10" s="7"/>
      <c r="K10" s="7"/>
      <c r="L10" s="7"/>
      <c r="M10" s="54"/>
      <c r="N10" s="54"/>
      <c r="O10" s="54"/>
      <c r="P10" s="8"/>
    </row>
    <row r="11" spans="1:16">
      <c r="A11" s="4"/>
      <c r="B11" s="4"/>
      <c r="C11" s="4"/>
      <c r="D11" s="4"/>
      <c r="E11" s="4"/>
      <c r="F11" s="4"/>
      <c r="G11" s="4"/>
      <c r="H11" s="4"/>
      <c r="I11" s="4"/>
      <c r="J11" s="4"/>
      <c r="K11" s="4"/>
      <c r="L11" s="4"/>
      <c r="M11" s="4"/>
      <c r="N11" s="4"/>
      <c r="O11" s="4"/>
      <c r="P11" s="4"/>
    </row>
    <row r="12" spans="1:16">
      <c r="A12" s="4"/>
      <c r="B12" s="4"/>
      <c r="C12" s="7" t="s">
        <v>1765</v>
      </c>
      <c r="D12" s="7"/>
      <c r="E12" s="7"/>
      <c r="F12" s="7"/>
      <c r="G12" s="7"/>
      <c r="H12" s="7"/>
      <c r="I12" s="7"/>
      <c r="J12" s="7"/>
      <c r="K12" s="7"/>
      <c r="L12" s="7"/>
      <c r="M12" s="7"/>
      <c r="N12" s="7"/>
      <c r="O12" s="7"/>
      <c r="P12" s="4"/>
    </row>
    <row r="13" spans="1:16" ht="16.5">
      <c r="A13" s="4"/>
      <c r="B13" s="4"/>
      <c r="C13" t="s">
        <v>1766</v>
      </c>
      <c r="D13" s="7"/>
      <c r="E13" s="7"/>
      <c r="F13" s="7"/>
      <c r="G13" s="7"/>
      <c r="H13" s="7"/>
      <c r="I13" s="7"/>
      <c r="J13" s="7"/>
      <c r="K13" s="7"/>
      <c r="L13" s="7"/>
      <c r="M13" s="7"/>
      <c r="N13" s="7"/>
      <c r="O13" s="7"/>
      <c r="P13" s="4"/>
    </row>
    <row r="14" spans="1:16">
      <c r="A14" s="4"/>
      <c r="B14" s="4"/>
      <c r="C14" s="7" t="s">
        <v>1767</v>
      </c>
      <c r="D14" s="7"/>
      <c r="E14" s="7"/>
      <c r="F14" s="7"/>
      <c r="G14" s="7"/>
      <c r="H14" s="7"/>
      <c r="I14" s="7"/>
      <c r="J14" s="7"/>
      <c r="K14" s="7"/>
      <c r="L14" s="7"/>
      <c r="M14" s="7"/>
      <c r="N14" s="7"/>
      <c r="O14" s="7"/>
      <c r="P14" s="4"/>
    </row>
    <row r="15" spans="1:16">
      <c r="A15" s="4"/>
      <c r="B15" s="4"/>
      <c r="C15" s="4"/>
      <c r="D15" s="4"/>
      <c r="E15" s="4"/>
      <c r="F15" s="4"/>
      <c r="G15" s="4"/>
      <c r="H15" s="4"/>
      <c r="I15" s="4"/>
      <c r="J15" s="4"/>
      <c r="K15" s="4"/>
      <c r="L15" s="4"/>
      <c r="M15" s="4"/>
      <c r="N15" s="4"/>
      <c r="O15" s="4"/>
      <c r="P15" s="4"/>
    </row>
    <row r="16" spans="1:16">
      <c r="A16" s="4"/>
      <c r="B16" s="4"/>
      <c r="C16" s="7"/>
      <c r="D16" s="7"/>
      <c r="E16" s="7"/>
      <c r="F16" s="7"/>
      <c r="G16" s="7"/>
      <c r="H16" s="7"/>
      <c r="I16" s="7"/>
      <c r="J16" s="7"/>
      <c r="K16" s="7"/>
      <c r="L16" s="7"/>
      <c r="M16" s="7"/>
      <c r="N16" s="7"/>
      <c r="O16" s="7"/>
      <c r="P16" s="4"/>
    </row>
    <row r="17" spans="1:16" s="362" customFormat="1" ht="45.95">
      <c r="C17" s="363"/>
      <c r="D17" s="541" t="s">
        <v>1768</v>
      </c>
      <c r="E17" s="542" t="s">
        <v>1769</v>
      </c>
      <c r="F17" s="543" t="s">
        <v>1770</v>
      </c>
      <c r="G17" s="363"/>
      <c r="H17" s="549"/>
      <c r="I17" s="363"/>
      <c r="J17" s="363"/>
      <c r="K17" s="363"/>
      <c r="L17" s="363"/>
      <c r="M17" s="363"/>
      <c r="N17" s="363"/>
      <c r="O17" s="363"/>
    </row>
    <row r="18" spans="1:16" s="4" customFormat="1">
      <c r="C18" s="7"/>
      <c r="D18" s="544"/>
      <c r="E18" s="7"/>
      <c r="F18" s="545"/>
      <c r="G18" s="7"/>
      <c r="H18" s="7"/>
      <c r="I18" s="7"/>
      <c r="J18" s="7"/>
      <c r="K18" s="7"/>
      <c r="L18" s="7"/>
      <c r="M18" s="7"/>
      <c r="N18" s="7"/>
      <c r="O18" s="7"/>
    </row>
    <row r="19" spans="1:16" s="4" customFormat="1">
      <c r="C19" s="7"/>
      <c r="D19" s="544"/>
      <c r="E19" s="7"/>
      <c r="F19" s="545"/>
      <c r="G19" s="7"/>
      <c r="H19" s="7"/>
      <c r="I19" s="7"/>
      <c r="J19" s="7"/>
      <c r="K19" s="7"/>
      <c r="L19" s="7"/>
      <c r="M19" s="7"/>
      <c r="N19" s="7"/>
      <c r="O19" s="7"/>
    </row>
    <row r="20" spans="1:16" s="4" customFormat="1">
      <c r="C20" s="7"/>
      <c r="D20" s="546"/>
      <c r="E20" s="547" t="s">
        <v>1771</v>
      </c>
      <c r="F20" s="548" t="s">
        <v>1772</v>
      </c>
      <c r="G20" s="7"/>
      <c r="H20" s="540"/>
      <c r="I20" s="7"/>
      <c r="J20" s="7"/>
      <c r="K20" s="7"/>
      <c r="L20" s="7"/>
      <c r="M20" s="7"/>
      <c r="N20" s="7"/>
      <c r="O20" s="7"/>
    </row>
    <row r="21" spans="1:16" s="4" customFormat="1">
      <c r="C21" s="7"/>
      <c r="D21" s="7"/>
      <c r="E21" s="7"/>
      <c r="F21" s="7"/>
      <c r="G21" s="7"/>
      <c r="H21" s="7"/>
      <c r="I21" s="7"/>
      <c r="J21" s="7"/>
      <c r="K21" s="7"/>
      <c r="L21" s="7"/>
      <c r="M21" s="7"/>
      <c r="N21" s="7"/>
      <c r="O21" s="7"/>
    </row>
    <row r="22" spans="1:16" s="4" customFormat="1" ht="29.1">
      <c r="C22" s="7"/>
      <c r="D22" s="388" t="s">
        <v>1773</v>
      </c>
      <c r="E22" s="7"/>
      <c r="F22" s="7"/>
      <c r="G22" s="7"/>
      <c r="H22" s="7"/>
      <c r="I22" s="7"/>
      <c r="J22" s="7"/>
      <c r="K22" s="7"/>
      <c r="L22" s="7"/>
      <c r="M22" s="7"/>
      <c r="N22" s="7"/>
      <c r="O22" s="7"/>
    </row>
    <row r="23" spans="1:16" s="4" customFormat="1" ht="29.1">
      <c r="C23" s="7"/>
      <c r="D23" s="554" t="s">
        <v>1774</v>
      </c>
      <c r="E23" s="60"/>
      <c r="F23" s="7"/>
      <c r="G23" s="7"/>
      <c r="H23" s="7"/>
      <c r="I23" s="7"/>
      <c r="J23" s="7"/>
      <c r="K23" s="7"/>
      <c r="L23" s="7"/>
      <c r="M23" s="7"/>
      <c r="N23" s="7"/>
      <c r="O23" s="7"/>
    </row>
    <row r="24" spans="1:16" s="4" customFormat="1" ht="29.1">
      <c r="C24" s="7"/>
      <c r="D24" s="553" t="s">
        <v>1775</v>
      </c>
      <c r="E24" s="60"/>
      <c r="F24" s="7"/>
      <c r="G24" s="7"/>
      <c r="H24" s="7"/>
      <c r="I24" s="7"/>
      <c r="J24" s="7"/>
      <c r="K24" s="7"/>
      <c r="L24" s="7"/>
      <c r="M24" s="7"/>
      <c r="N24" s="7"/>
      <c r="O24" s="7"/>
    </row>
    <row r="25" spans="1:16" s="4" customFormat="1" ht="29.1">
      <c r="C25" s="7"/>
      <c r="D25" s="552" t="s">
        <v>1776</v>
      </c>
      <c r="E25" s="60"/>
      <c r="F25" s="7"/>
      <c r="G25" s="7"/>
      <c r="H25" s="7"/>
      <c r="I25" s="7"/>
      <c r="J25" s="7"/>
      <c r="K25" s="7"/>
      <c r="L25" s="7"/>
      <c r="M25" s="7"/>
      <c r="N25" s="7"/>
      <c r="O25" s="7"/>
    </row>
    <row r="26" spans="1:16" s="4" customFormat="1">
      <c r="C26" s="7"/>
      <c r="D26" s="7"/>
      <c r="E26" s="7"/>
      <c r="F26" s="7"/>
      <c r="G26" s="7"/>
      <c r="H26" s="7"/>
      <c r="I26" s="7"/>
      <c r="J26" s="7"/>
      <c r="K26" s="7"/>
      <c r="L26" s="7"/>
      <c r="M26" s="7"/>
      <c r="N26" s="7"/>
      <c r="O26" s="7"/>
    </row>
    <row r="27" spans="1:16">
      <c r="A27" s="4"/>
      <c r="B27" s="4"/>
      <c r="C27" s="7"/>
      <c r="D27" s="364" t="s">
        <v>40</v>
      </c>
      <c r="E27" s="365" t="s">
        <v>1777</v>
      </c>
      <c r="F27" s="365" t="s">
        <v>1778</v>
      </c>
      <c r="G27" s="560" t="s">
        <v>1779</v>
      </c>
      <c r="H27" s="365" t="s">
        <v>1780</v>
      </c>
      <c r="I27" s="561" t="s">
        <v>1781</v>
      </c>
      <c r="J27" s="551" t="s">
        <v>1782</v>
      </c>
      <c r="K27" s="550" t="s">
        <v>1783</v>
      </c>
      <c r="L27" s="540"/>
      <c r="M27" s="540"/>
      <c r="N27" s="85"/>
      <c r="O27" s="85"/>
      <c r="P27" s="4"/>
    </row>
    <row r="28" spans="1:16" ht="57.95">
      <c r="A28" s="4"/>
      <c r="B28" s="4"/>
      <c r="C28" s="7"/>
      <c r="D28" s="266">
        <f>Table86[[#This Row],[Impact Rating]]*Table86[[#This Row],[Exposure Rating]]</f>
        <v>5</v>
      </c>
      <c r="E28" s="18" t="s">
        <v>1784</v>
      </c>
      <c r="F28" s="18" t="s">
        <v>1785</v>
      </c>
      <c r="G28" s="314">
        <v>5</v>
      </c>
      <c r="H28" s="18" t="s">
        <v>1786</v>
      </c>
      <c r="I28" s="114">
        <v>1</v>
      </c>
      <c r="J28" s="16" t="s">
        <v>1787</v>
      </c>
      <c r="K28" s="18" t="s">
        <v>1788</v>
      </c>
      <c r="L28" s="99"/>
      <c r="M28" s="99"/>
      <c r="N28" s="99"/>
      <c r="O28" s="99"/>
      <c r="P28" s="4"/>
    </row>
    <row r="29" spans="1:16" ht="43.5">
      <c r="A29" s="4"/>
      <c r="B29" s="4"/>
      <c r="C29" s="7"/>
      <c r="D29" s="266">
        <f>Table86[[#This Row],[Impact Rating]]*Table86[[#This Row],[Exposure Rating]]</f>
        <v>25</v>
      </c>
      <c r="E29" s="18" t="s">
        <v>1784</v>
      </c>
      <c r="F29" s="18" t="s">
        <v>1789</v>
      </c>
      <c r="G29" s="314">
        <v>5</v>
      </c>
      <c r="H29" s="18" t="s">
        <v>1790</v>
      </c>
      <c r="I29" s="114">
        <v>5</v>
      </c>
      <c r="J29" s="16" t="s">
        <v>1791</v>
      </c>
      <c r="K29" s="18" t="s">
        <v>1792</v>
      </c>
      <c r="L29" s="99"/>
      <c r="M29" s="99"/>
      <c r="N29" s="99"/>
      <c r="O29" s="99"/>
      <c r="P29" s="4"/>
    </row>
    <row r="30" spans="1:16" ht="43.5">
      <c r="A30" s="4"/>
      <c r="B30" s="4"/>
      <c r="C30" s="7"/>
      <c r="D30" s="266">
        <f>Table86[[#This Row],[Impact Rating]]*Table86[[#This Row],[Exposure Rating]]</f>
        <v>15</v>
      </c>
      <c r="E30" s="18" t="s">
        <v>1784</v>
      </c>
      <c r="F30" s="18" t="s">
        <v>1793</v>
      </c>
      <c r="G30" s="314">
        <v>5</v>
      </c>
      <c r="H30" s="18" t="s">
        <v>1790</v>
      </c>
      <c r="I30" s="114">
        <v>3</v>
      </c>
      <c r="J30" s="16" t="s">
        <v>1794</v>
      </c>
      <c r="K30" s="18" t="s">
        <v>1795</v>
      </c>
      <c r="L30" s="99"/>
      <c r="M30" s="99"/>
      <c r="N30" s="99"/>
      <c r="O30" s="99"/>
      <c r="P30" s="4"/>
    </row>
    <row r="31" spans="1:16" ht="29.1">
      <c r="A31" s="4"/>
      <c r="B31" s="4"/>
      <c r="C31" s="7"/>
      <c r="D31" s="266">
        <f>Table86[[#This Row],[Impact Rating]]*Table86[[#This Row],[Exposure Rating]]</f>
        <v>8</v>
      </c>
      <c r="E31" s="18" t="s">
        <v>1796</v>
      </c>
      <c r="F31" s="18" t="s">
        <v>1797</v>
      </c>
      <c r="G31" s="314">
        <v>4</v>
      </c>
      <c r="H31" s="18" t="s">
        <v>1798</v>
      </c>
      <c r="I31" s="114">
        <v>2</v>
      </c>
      <c r="J31" s="16" t="s">
        <v>1799</v>
      </c>
      <c r="K31" s="18" t="s">
        <v>1800</v>
      </c>
      <c r="L31" s="99"/>
      <c r="M31" s="99"/>
      <c r="N31" s="99"/>
      <c r="O31" s="99"/>
      <c r="P31" s="4"/>
    </row>
    <row r="32" spans="1:16" ht="29.1">
      <c r="A32" s="4"/>
      <c r="B32" s="4"/>
      <c r="C32" s="7"/>
      <c r="D32" s="266">
        <f>Table86[[#This Row],[Impact Rating]]*Table86[[#This Row],[Exposure Rating]]</f>
        <v>6</v>
      </c>
      <c r="E32" s="18" t="s">
        <v>1801</v>
      </c>
      <c r="F32" s="18" t="s">
        <v>1802</v>
      </c>
      <c r="G32" s="314">
        <v>3</v>
      </c>
      <c r="H32" s="18" t="s">
        <v>1803</v>
      </c>
      <c r="I32" s="114">
        <v>2</v>
      </c>
      <c r="J32" s="16" t="s">
        <v>1799</v>
      </c>
      <c r="K32" s="18" t="s">
        <v>1800</v>
      </c>
      <c r="L32" s="99"/>
      <c r="M32" s="99"/>
      <c r="N32" s="99"/>
      <c r="O32" s="99"/>
      <c r="P32" s="4"/>
    </row>
    <row r="33" spans="1:16" ht="29.1">
      <c r="A33" s="4"/>
      <c r="B33" s="4"/>
      <c r="C33" s="7"/>
      <c r="D33" s="266">
        <f>Table86[[#This Row],[Impact Rating]]*Table86[[#This Row],[Exposure Rating]]</f>
        <v>5</v>
      </c>
      <c r="E33" s="18" t="s">
        <v>1804</v>
      </c>
      <c r="F33" s="18" t="s">
        <v>1805</v>
      </c>
      <c r="G33" s="314">
        <v>5</v>
      </c>
      <c r="H33" s="18" t="s">
        <v>1803</v>
      </c>
      <c r="I33" s="114">
        <v>1</v>
      </c>
      <c r="J33" s="16" t="s">
        <v>1806</v>
      </c>
      <c r="K33" s="18" t="s">
        <v>1807</v>
      </c>
      <c r="L33" s="99"/>
      <c r="M33" s="99"/>
      <c r="N33" s="99"/>
      <c r="O33" s="99"/>
      <c r="P33" s="4"/>
    </row>
    <row r="34" spans="1:16" ht="29.1">
      <c r="A34" s="4"/>
      <c r="B34" s="4"/>
      <c r="C34" s="7"/>
      <c r="D34" s="266">
        <f>Table86[[#This Row],[Impact Rating]]*Table86[[#This Row],[Exposure Rating]]</f>
        <v>10</v>
      </c>
      <c r="E34" s="18" t="s">
        <v>1808</v>
      </c>
      <c r="F34" s="18" t="s">
        <v>1809</v>
      </c>
      <c r="G34" s="314">
        <v>5</v>
      </c>
      <c r="H34" s="18" t="s">
        <v>1810</v>
      </c>
      <c r="I34" s="114">
        <v>2</v>
      </c>
      <c r="J34" s="16" t="s">
        <v>1811</v>
      </c>
      <c r="K34" s="18" t="s">
        <v>1812</v>
      </c>
      <c r="L34" s="99"/>
      <c r="M34" s="99"/>
      <c r="N34" s="99"/>
      <c r="O34" s="99"/>
      <c r="P34" s="4"/>
    </row>
    <row r="35" spans="1:16">
      <c r="A35" s="4"/>
      <c r="B35" s="4"/>
      <c r="C35" s="7"/>
      <c r="D35" s="7"/>
      <c r="E35" s="54"/>
      <c r="F35" s="7"/>
      <c r="G35" s="7"/>
      <c r="H35" s="7"/>
      <c r="I35" s="7"/>
      <c r="J35" s="7"/>
      <c r="K35" s="7"/>
      <c r="L35" s="7"/>
      <c r="M35" s="7"/>
      <c r="N35" s="7"/>
      <c r="O35" s="7"/>
      <c r="P35" s="4"/>
    </row>
    <row r="36" spans="1:16">
      <c r="A36" s="4"/>
      <c r="B36" s="4"/>
      <c r="C36" s="4"/>
      <c r="D36" s="4"/>
      <c r="E36" s="4"/>
      <c r="F36" s="4"/>
      <c r="G36" s="4"/>
      <c r="H36" s="4"/>
      <c r="I36" s="4"/>
      <c r="J36" s="4"/>
      <c r="K36" s="4"/>
      <c r="L36" s="4"/>
      <c r="M36" s="4"/>
      <c r="N36" s="4"/>
      <c r="O36" s="4"/>
      <c r="P36" s="4"/>
    </row>
    <row r="37" spans="1:16" ht="18.600000000000001">
      <c r="A37" s="4"/>
      <c r="B37" s="4"/>
      <c r="C37" s="102" t="s">
        <v>78</v>
      </c>
      <c r="D37" s="102"/>
      <c r="E37" s="102"/>
      <c r="F37" s="102"/>
      <c r="G37" s="102"/>
      <c r="H37" s="102"/>
      <c r="I37" s="102"/>
      <c r="J37" s="102"/>
      <c r="K37" s="102"/>
      <c r="L37" s="102"/>
      <c r="M37" s="102"/>
      <c r="N37" s="102"/>
      <c r="O37" s="102"/>
      <c r="P37" s="102"/>
    </row>
    <row r="38" spans="1:16" outlineLevel="1">
      <c r="A38" s="4"/>
      <c r="B38" s="4"/>
      <c r="C38" s="4"/>
      <c r="D38" s="4"/>
      <c r="E38" s="4"/>
      <c r="F38" s="4"/>
      <c r="G38" s="4"/>
      <c r="H38" s="4"/>
      <c r="I38" s="4"/>
      <c r="J38" s="4"/>
      <c r="K38" s="4"/>
      <c r="L38" s="4"/>
      <c r="M38" s="4"/>
      <c r="N38" s="4"/>
      <c r="O38" s="4"/>
      <c r="P38" s="4"/>
    </row>
    <row r="39" spans="1:16" ht="16.5" outlineLevel="1">
      <c r="A39" s="4"/>
      <c r="B39" s="4"/>
      <c r="C39" s="169">
        <v>1</v>
      </c>
      <c r="D39" s="1" t="s">
        <v>1813</v>
      </c>
      <c r="E39" s="70"/>
      <c r="F39" s="7"/>
      <c r="G39" s="7"/>
      <c r="H39" s="7"/>
      <c r="I39" s="7"/>
      <c r="J39" s="7"/>
      <c r="K39" s="7"/>
      <c r="L39" s="7"/>
      <c r="M39" s="7"/>
      <c r="N39" s="7"/>
      <c r="O39" s="7"/>
      <c r="P39" s="4"/>
    </row>
    <row r="40" spans="1:16" ht="16.5" outlineLevel="1">
      <c r="A40" s="4"/>
      <c r="B40" s="4"/>
      <c r="C40" s="169">
        <v>2</v>
      </c>
      <c r="D40" s="1" t="s">
        <v>1814</v>
      </c>
      <c r="E40" s="70"/>
      <c r="F40" s="7"/>
      <c r="G40" s="7"/>
      <c r="H40" s="7"/>
      <c r="I40" s="7"/>
      <c r="J40" s="7"/>
      <c r="K40" s="7"/>
      <c r="L40" s="7"/>
      <c r="M40" s="7"/>
      <c r="N40" s="7"/>
      <c r="O40" s="7"/>
      <c r="P40" s="4"/>
    </row>
    <row r="41" spans="1:16" ht="16.5" outlineLevel="1">
      <c r="A41" s="4"/>
      <c r="B41" s="4"/>
      <c r="C41" s="169">
        <v>3</v>
      </c>
      <c r="D41" s="7" t="s">
        <v>1815</v>
      </c>
      <c r="E41" s="70"/>
      <c r="F41" s="7"/>
      <c r="G41" s="7"/>
      <c r="H41" s="7"/>
      <c r="I41" s="7"/>
      <c r="J41" s="7"/>
      <c r="K41" s="7"/>
      <c r="L41" s="7"/>
      <c r="M41" s="7"/>
      <c r="N41" s="7"/>
      <c r="O41" s="7"/>
      <c r="P41" s="4"/>
    </row>
    <row r="42" spans="1:16" ht="16.5" outlineLevel="1">
      <c r="A42" s="4"/>
      <c r="B42" s="4"/>
      <c r="C42" s="169">
        <v>4</v>
      </c>
      <c r="D42" s="7" t="s">
        <v>1816</v>
      </c>
      <c r="E42" s="70"/>
      <c r="F42" s="7"/>
      <c r="G42" s="7"/>
      <c r="H42" s="7"/>
      <c r="I42" s="7"/>
      <c r="J42" s="7"/>
      <c r="K42" s="7"/>
      <c r="L42" s="7"/>
      <c r="M42" s="7"/>
      <c r="N42" s="7"/>
      <c r="O42" s="7"/>
      <c r="P42" s="4"/>
    </row>
    <row r="43" spans="1:16">
      <c r="A43" s="4"/>
      <c r="B43" s="4"/>
      <c r="C43" s="4"/>
      <c r="D43" s="4"/>
      <c r="E43" s="4"/>
      <c r="F43" s="4"/>
      <c r="G43" s="4"/>
      <c r="H43" s="4"/>
      <c r="I43" s="4"/>
      <c r="J43" s="4"/>
      <c r="K43" s="4"/>
      <c r="L43" s="4"/>
      <c r="M43" s="4"/>
      <c r="N43" s="4"/>
      <c r="O43" s="4"/>
      <c r="P43" s="4"/>
    </row>
  </sheetData>
  <mergeCells count="2">
    <mergeCell ref="C2:M2"/>
    <mergeCell ref="C3:M3"/>
  </mergeCells>
  <phoneticPr fontId="65"/>
  <conditionalFormatting sqref="D28:D34">
    <cfRule type="cellIs" dxfId="414" priority="1" operator="between">
      <formula>15</formula>
      <formula>19</formula>
    </cfRule>
    <cfRule type="cellIs" dxfId="413" priority="2" operator="between">
      <formula>8</formula>
      <formula>14</formula>
    </cfRule>
    <cfRule type="cellIs" dxfId="412" priority="3" operator="between">
      <formula>1</formula>
      <formula>7</formula>
    </cfRule>
    <cfRule type="cellIs" dxfId="411" priority="4" operator="greaterThan">
      <formula>20</formula>
    </cfRule>
  </conditionalFormatting>
  <dataValidations count="1">
    <dataValidation type="list" allowBlank="1" showInputMessage="1" showErrorMessage="1" sqref="N28:O34" xr:uid="{06C043C3-EBD2-49F5-9D4B-E3ECBC189D4C}">
      <formula1>#REF!</formula1>
    </dataValidation>
  </dataValidations>
  <hyperlinks>
    <hyperlink ref="D39" r:id="rId1" display="https://www.preventionweb.net/understanding-disaster-risk/component-risk/disaster-risk" xr:uid="{C50CA84D-8659-48D0-A5C2-20B41E97807A}"/>
    <hyperlink ref="D40" r:id="rId2" display="https://www.preventionweb.net/publication/tools-mainstreaming-disaster-risk-reduction-guidance-notes-development-organisations" xr:uid="{87795773-2E1E-49AB-BB8A-14FB8E533A7C}"/>
  </hyperlinks>
  <pageMargins left="0.7" right="0.7" top="0.75" bottom="0.75" header="0.3" footer="0.3"/>
  <pageSetup orientation="portrait" r:id="rId3"/>
  <drawing r:id="rId4"/>
  <tableParts count="1">
    <tablePart r:id="rId5"/>
  </tablePar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E279-B41F-4F3E-8868-F47580E28735}">
  <sheetPr>
    <tabColor rgb="FF737373"/>
  </sheetPr>
  <dimension ref="A1:AU67"/>
  <sheetViews>
    <sheetView showGridLines="0" showRowColHeaders="0" zoomScale="85" zoomScaleNormal="85" workbookViewId="0">
      <selection activeCell="A5" sqref="A5"/>
    </sheetView>
  </sheetViews>
  <sheetFormatPr defaultColWidth="0" defaultRowHeight="14.45" zeroHeight="1" outlineLevelRow="1"/>
  <cols>
    <col min="1" max="2" width="5.85546875" customWidth="1"/>
    <col min="3" max="3" width="3.85546875" customWidth="1"/>
    <col min="4" max="4" width="27.140625" customWidth="1"/>
    <col min="5" max="5" width="25" bestFit="1" customWidth="1"/>
    <col min="6" max="6" width="37.42578125" bestFit="1" customWidth="1"/>
    <col min="7" max="7" width="25.42578125" bestFit="1" customWidth="1"/>
    <col min="8" max="8" width="26.42578125" bestFit="1" customWidth="1"/>
    <col min="9" max="9" width="26.140625" customWidth="1"/>
    <col min="10" max="10" width="28.85546875" bestFit="1" customWidth="1"/>
    <col min="11" max="11" width="28.42578125" bestFit="1" customWidth="1"/>
    <col min="12" max="12" width="27.85546875" bestFit="1" customWidth="1"/>
    <col min="13" max="13" width="21.42578125" bestFit="1" customWidth="1"/>
    <col min="14" max="14" width="21.7109375" bestFit="1" customWidth="1"/>
    <col min="15" max="15" width="21.140625" bestFit="1" customWidth="1"/>
    <col min="16" max="16" width="22.140625" bestFit="1" customWidth="1"/>
    <col min="17" max="17" width="13.42578125" bestFit="1" customWidth="1"/>
    <col min="18" max="19" width="21.42578125" customWidth="1"/>
    <col min="20" max="20" width="20.85546875" bestFit="1" customWidth="1"/>
    <col min="21" max="21" width="16.42578125" customWidth="1"/>
    <col min="22" max="22" width="20.85546875" customWidth="1"/>
    <col min="23" max="24" width="23.85546875" bestFit="1" customWidth="1"/>
    <col min="25" max="26" width="22.140625" bestFit="1" customWidth="1"/>
    <col min="27" max="27" width="20.85546875" customWidth="1"/>
    <col min="28" max="28" width="22.85546875" bestFit="1" customWidth="1"/>
    <col min="29" max="29" width="21.42578125" bestFit="1" customWidth="1"/>
    <col min="30" max="30" width="17.42578125" bestFit="1" customWidth="1"/>
    <col min="31" max="31" width="14.42578125" bestFit="1" customWidth="1"/>
    <col min="32" max="32" width="14" bestFit="1" customWidth="1"/>
    <col min="33" max="33" width="11.42578125" bestFit="1" customWidth="1"/>
    <col min="34" max="34" width="12.42578125" bestFit="1" customWidth="1"/>
    <col min="35" max="35" width="16.5703125" bestFit="1" customWidth="1"/>
    <col min="36" max="36" width="16.5703125" customWidth="1"/>
    <col min="37" max="37" width="8.85546875" customWidth="1"/>
    <col min="38" max="38" width="3.85546875" customWidth="1"/>
    <col min="39" max="47" width="8.85546875" hidden="1" customWidth="1"/>
    <col min="48" max="16384" width="63.42578125" hidden="1"/>
  </cols>
  <sheetData>
    <row r="1" spans="1:38">
      <c r="A1" s="4"/>
      <c r="B1" s="4"/>
      <c r="C1" s="4"/>
      <c r="D1" s="4"/>
      <c r="E1" s="4"/>
      <c r="F1" s="4"/>
      <c r="G1" s="4"/>
      <c r="H1" s="4"/>
      <c r="I1" s="4"/>
      <c r="J1" s="4"/>
      <c r="K1" s="4"/>
      <c r="L1" s="4"/>
      <c r="M1" s="4"/>
      <c r="N1" s="4"/>
      <c r="O1" s="4"/>
      <c r="P1" s="4"/>
      <c r="Q1" s="4"/>
      <c r="R1" s="4"/>
      <c r="S1" s="4"/>
      <c r="T1" s="4"/>
      <c r="U1" s="4"/>
      <c r="V1" s="4"/>
      <c r="W1" s="4"/>
      <c r="X1" s="4"/>
      <c r="Y1" s="4"/>
      <c r="Z1" s="4"/>
      <c r="AA1" s="4"/>
      <c r="AB1" s="4"/>
      <c r="AC1" s="4"/>
      <c r="AD1" s="4"/>
      <c r="AE1" s="4"/>
      <c r="AF1" s="4"/>
      <c r="AG1" s="4"/>
      <c r="AH1" s="4"/>
      <c r="AI1" s="4"/>
      <c r="AJ1" s="4"/>
      <c r="AK1" s="4"/>
      <c r="AL1" s="4"/>
    </row>
    <row r="2" spans="1:38" ht="21">
      <c r="A2" s="4"/>
      <c r="B2" s="4"/>
      <c r="C2" s="618" t="s">
        <v>1817</v>
      </c>
      <c r="D2" s="618"/>
      <c r="E2" s="618"/>
      <c r="F2" s="618"/>
      <c r="G2" s="618"/>
      <c r="H2" s="618"/>
      <c r="I2" s="618"/>
      <c r="J2" s="618"/>
      <c r="K2" s="618"/>
      <c r="L2" s="618"/>
      <c r="M2" s="618"/>
      <c r="N2" s="618"/>
      <c r="O2" s="618"/>
      <c r="P2" s="618"/>
      <c r="Q2" s="618"/>
      <c r="R2" s="618"/>
      <c r="S2" s="618"/>
      <c r="T2" s="618"/>
      <c r="U2" s="618"/>
      <c r="V2" s="618"/>
      <c r="W2" s="618"/>
      <c r="X2" s="618"/>
      <c r="Y2" s="618"/>
      <c r="Z2" s="618"/>
      <c r="AA2" s="618"/>
      <c r="AB2" s="618"/>
      <c r="AC2" s="618"/>
      <c r="AD2" s="618"/>
      <c r="AE2" s="618"/>
      <c r="AF2" s="618"/>
      <c r="AG2" s="618"/>
      <c r="AH2" s="618"/>
      <c r="AI2" s="618"/>
      <c r="AJ2" s="618"/>
      <c r="AK2" s="618"/>
      <c r="AL2" s="4"/>
    </row>
    <row r="3" spans="1:38">
      <c r="A3" s="4"/>
      <c r="B3" s="4"/>
      <c r="C3" s="646" t="s">
        <v>1818</v>
      </c>
      <c r="D3" s="646"/>
      <c r="E3" s="646"/>
      <c r="F3" s="646"/>
      <c r="G3" s="646"/>
      <c r="H3" s="646"/>
      <c r="I3" s="646"/>
      <c r="J3" s="646"/>
      <c r="K3" s="646"/>
      <c r="L3" s="646"/>
      <c r="M3" s="646"/>
      <c r="N3" s="646"/>
      <c r="O3" s="646"/>
      <c r="P3" s="646"/>
      <c r="Q3" s="646"/>
      <c r="R3" s="646"/>
      <c r="S3" s="646"/>
      <c r="T3" s="646"/>
      <c r="U3" s="646"/>
      <c r="V3" s="646"/>
      <c r="W3" s="646"/>
      <c r="X3" s="646"/>
      <c r="Y3" s="646"/>
      <c r="Z3" s="646"/>
      <c r="AA3" s="646"/>
      <c r="AB3" s="646"/>
      <c r="AC3" s="646"/>
      <c r="AD3" s="646"/>
      <c r="AE3" s="646"/>
      <c r="AF3" s="646"/>
      <c r="AG3" s="646"/>
      <c r="AH3" s="646"/>
      <c r="AI3" s="646"/>
      <c r="AJ3" s="646"/>
      <c r="AK3" s="646"/>
      <c r="AL3" s="4"/>
    </row>
    <row r="4" spans="1:38">
      <c r="A4" s="4"/>
      <c r="B4" s="4"/>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row>
    <row r="5" spans="1:38">
      <c r="A5" s="4"/>
      <c r="B5" s="4"/>
      <c r="C5" s="7"/>
      <c r="D5" s="54"/>
      <c r="E5" s="54"/>
      <c r="F5" s="54"/>
      <c r="G5" s="54"/>
      <c r="H5" s="54"/>
      <c r="I5" s="54"/>
      <c r="J5" s="54"/>
      <c r="K5" s="54"/>
      <c r="L5" s="54"/>
      <c r="M5" s="54"/>
      <c r="N5" s="54"/>
      <c r="O5" s="54"/>
      <c r="P5" s="54"/>
      <c r="Q5" s="54"/>
      <c r="R5" s="54"/>
      <c r="S5" s="54"/>
      <c r="T5" s="54"/>
      <c r="U5" s="54"/>
      <c r="V5" s="54"/>
      <c r="W5" s="54"/>
      <c r="X5" s="54"/>
      <c r="Y5" s="54"/>
      <c r="Z5" s="54"/>
      <c r="AA5" s="54"/>
      <c r="AB5" s="54"/>
      <c r="AC5" s="54"/>
      <c r="AD5" s="7"/>
      <c r="AE5" s="7"/>
      <c r="AF5" s="7"/>
      <c r="AG5" s="7"/>
      <c r="AH5" s="7"/>
      <c r="AI5" s="7"/>
      <c r="AJ5" s="7"/>
      <c r="AK5" s="7"/>
      <c r="AL5" s="4"/>
    </row>
    <row r="6" spans="1:38">
      <c r="A6" s="4"/>
      <c r="B6" s="4"/>
      <c r="C6" s="7"/>
      <c r="D6" s="140" t="s">
        <v>299</v>
      </c>
      <c r="E6" s="209"/>
      <c r="F6" s="7"/>
      <c r="G6" s="241"/>
      <c r="H6" s="241"/>
      <c r="I6" s="241"/>
      <c r="J6" s="241"/>
      <c r="K6" s="54"/>
      <c r="L6" s="54"/>
      <c r="M6" s="54"/>
      <c r="N6" s="54"/>
      <c r="O6" s="54"/>
      <c r="P6" s="54"/>
      <c r="Q6" s="54"/>
      <c r="R6" s="54"/>
      <c r="S6" s="54"/>
      <c r="T6" s="54"/>
      <c r="U6" s="54"/>
      <c r="V6" s="54"/>
      <c r="W6" s="54"/>
      <c r="X6" s="54"/>
      <c r="Y6" s="54"/>
      <c r="Z6" s="54"/>
      <c r="AA6" s="54"/>
      <c r="AB6" s="54"/>
      <c r="AC6" s="54"/>
      <c r="AD6" s="7"/>
      <c r="AE6" s="7"/>
      <c r="AF6" s="7"/>
      <c r="AG6" s="7"/>
      <c r="AH6" s="7"/>
      <c r="AI6" s="7"/>
      <c r="AJ6" s="7"/>
      <c r="AK6" s="7"/>
      <c r="AL6" s="4"/>
    </row>
    <row r="7" spans="1:38">
      <c r="A7" s="4"/>
      <c r="B7" s="4"/>
      <c r="C7" s="7"/>
      <c r="D7" s="142" t="s">
        <v>300</v>
      </c>
      <c r="E7" s="210"/>
      <c r="F7" s="7"/>
      <c r="G7" s="241"/>
      <c r="H7" s="241"/>
      <c r="I7" s="241"/>
      <c r="J7" s="241"/>
      <c r="K7" s="54"/>
      <c r="L7" s="54"/>
      <c r="M7" s="54"/>
      <c r="N7" s="54"/>
      <c r="O7" s="54"/>
      <c r="P7" s="54"/>
      <c r="Q7" s="54"/>
      <c r="R7" s="54"/>
      <c r="S7" s="54"/>
      <c r="T7" s="54"/>
      <c r="U7" s="54"/>
      <c r="V7" s="54"/>
      <c r="W7" s="54"/>
      <c r="X7" s="54"/>
      <c r="Y7" s="54"/>
      <c r="Z7" s="54"/>
      <c r="AA7" s="54"/>
      <c r="AB7" s="54"/>
      <c r="AC7" s="54"/>
      <c r="AD7" s="7"/>
      <c r="AE7" s="7"/>
      <c r="AF7" s="7"/>
      <c r="AG7" s="7"/>
      <c r="AH7" s="7"/>
      <c r="AI7" s="7"/>
      <c r="AJ7" s="7"/>
      <c r="AK7" s="7"/>
      <c r="AL7" s="4"/>
    </row>
    <row r="8" spans="1:38">
      <c r="A8" s="4"/>
      <c r="B8" s="4"/>
      <c r="C8" s="7"/>
      <c r="D8" s="142" t="s">
        <v>301</v>
      </c>
      <c r="E8" s="210"/>
      <c r="F8" s="7"/>
      <c r="G8" s="241"/>
      <c r="H8" s="241"/>
      <c r="I8" s="241"/>
      <c r="J8" s="241"/>
      <c r="K8" s="54"/>
      <c r="L8" s="54"/>
      <c r="M8" s="54"/>
      <c r="N8" s="54"/>
      <c r="O8" s="54"/>
      <c r="P8" s="54"/>
      <c r="Q8" s="54"/>
      <c r="R8" s="54"/>
      <c r="S8" s="54"/>
      <c r="T8" s="54"/>
      <c r="U8" s="54"/>
      <c r="V8" s="54"/>
      <c r="W8" s="54"/>
      <c r="X8" s="54"/>
      <c r="Y8" s="54"/>
      <c r="Z8" s="54"/>
      <c r="AA8" s="54"/>
      <c r="AB8" s="54"/>
      <c r="AC8" s="54"/>
      <c r="AD8" s="7"/>
      <c r="AE8" s="7"/>
      <c r="AF8" s="7"/>
      <c r="AG8" s="7"/>
      <c r="AH8" s="7"/>
      <c r="AI8" s="7"/>
      <c r="AJ8" s="7"/>
      <c r="AK8" s="7"/>
      <c r="AL8" s="4"/>
    </row>
    <row r="9" spans="1:38">
      <c r="A9" s="4"/>
      <c r="B9" s="4"/>
      <c r="C9" s="7"/>
      <c r="D9" s="144" t="s">
        <v>0</v>
      </c>
      <c r="E9" s="211"/>
      <c r="F9" s="7"/>
      <c r="G9" s="241"/>
      <c r="H9" s="241"/>
      <c r="I9" s="241"/>
      <c r="J9" s="241"/>
      <c r="K9" s="54"/>
      <c r="L9" s="54"/>
      <c r="M9" s="54"/>
      <c r="N9" s="54"/>
      <c r="O9" s="54"/>
      <c r="P9" s="54"/>
      <c r="Q9" s="54"/>
      <c r="R9" s="54"/>
      <c r="S9" s="54"/>
      <c r="T9" s="54"/>
      <c r="U9" s="54"/>
      <c r="V9" s="54"/>
      <c r="W9" s="54"/>
      <c r="X9" s="54"/>
      <c r="Y9" s="54"/>
      <c r="Z9" s="54"/>
      <c r="AA9" s="54"/>
      <c r="AB9" s="54"/>
      <c r="AC9" s="54"/>
      <c r="AD9" s="7"/>
      <c r="AE9" s="7"/>
      <c r="AF9" s="7"/>
      <c r="AG9" s="7"/>
      <c r="AH9" s="7"/>
      <c r="AI9" s="7"/>
      <c r="AJ9" s="7"/>
      <c r="AK9" s="7"/>
      <c r="AL9" s="4"/>
    </row>
    <row r="10" spans="1:38">
      <c r="A10" s="4"/>
      <c r="B10" s="4"/>
      <c r="C10" s="7"/>
      <c r="D10" s="7"/>
      <c r="E10" s="7"/>
      <c r="F10" s="7"/>
      <c r="G10" s="241"/>
      <c r="H10" s="241"/>
      <c r="I10" s="241"/>
      <c r="J10" s="241"/>
      <c r="K10" s="54"/>
      <c r="L10" s="54"/>
      <c r="M10" s="54"/>
      <c r="N10" s="54"/>
      <c r="O10" s="54"/>
      <c r="P10" s="54"/>
      <c r="Q10" s="54"/>
      <c r="R10" s="54"/>
      <c r="S10" s="54"/>
      <c r="T10" s="54"/>
      <c r="U10" s="54"/>
      <c r="V10" s="54"/>
      <c r="W10" s="54"/>
      <c r="X10" s="54"/>
      <c r="Y10" s="54"/>
      <c r="Z10" s="54"/>
      <c r="AA10" s="54"/>
      <c r="AB10" s="54"/>
      <c r="AC10" s="54"/>
      <c r="AD10" s="7"/>
      <c r="AE10" s="7"/>
      <c r="AF10" s="7"/>
      <c r="AG10" s="7"/>
      <c r="AH10" s="7"/>
      <c r="AI10" s="7"/>
      <c r="AJ10" s="7"/>
      <c r="AK10" s="7"/>
      <c r="AL10" s="4"/>
    </row>
    <row r="11" spans="1:38">
      <c r="A11" s="4"/>
      <c r="B11" s="4"/>
      <c r="C11" s="4"/>
      <c r="D11" s="4"/>
      <c r="E11" s="4"/>
      <c r="F11" s="4"/>
      <c r="G11" s="4"/>
      <c r="H11" s="4"/>
      <c r="I11" s="4"/>
      <c r="J11" s="4"/>
      <c r="K11" s="4"/>
      <c r="L11" s="4"/>
      <c r="M11" s="4"/>
      <c r="N11" s="4"/>
      <c r="O11" s="4"/>
      <c r="P11" s="4"/>
      <c r="Q11" s="4"/>
      <c r="R11" s="4"/>
      <c r="S11" s="4"/>
      <c r="T11" s="4"/>
      <c r="U11" s="4"/>
      <c r="V11" s="4"/>
      <c r="W11" s="4"/>
      <c r="X11" s="4"/>
      <c r="Y11" s="4"/>
      <c r="Z11" s="4"/>
      <c r="AA11" s="4"/>
      <c r="AB11" s="4"/>
      <c r="AC11" s="4"/>
      <c r="AD11" s="4"/>
      <c r="AE11" s="4"/>
      <c r="AF11" s="4"/>
      <c r="AG11" s="4"/>
      <c r="AH11" s="4"/>
      <c r="AI11" s="4"/>
      <c r="AJ11" s="4"/>
      <c r="AK11" s="4"/>
      <c r="AL11" s="4"/>
    </row>
    <row r="12" spans="1:38">
      <c r="A12" s="4"/>
      <c r="B12" s="4"/>
      <c r="C12" s="7"/>
      <c r="D12" s="7" t="s">
        <v>1819</v>
      </c>
      <c r="E12" s="7"/>
      <c r="F12" s="7"/>
      <c r="G12" s="7"/>
      <c r="H12" s="7"/>
      <c r="I12" s="7"/>
      <c r="J12" s="7"/>
      <c r="K12" s="7"/>
      <c r="L12" s="7"/>
      <c r="M12" s="7"/>
      <c r="N12" s="7"/>
      <c r="O12" s="7"/>
      <c r="P12" s="7"/>
      <c r="Q12" s="7"/>
      <c r="R12" s="7"/>
      <c r="S12" s="7"/>
      <c r="T12" s="7"/>
      <c r="U12" s="7"/>
      <c r="V12" s="7"/>
      <c r="W12" s="7"/>
      <c r="X12" s="7"/>
      <c r="Y12" s="7"/>
      <c r="Z12" s="7"/>
      <c r="AA12" s="7"/>
      <c r="AB12" s="7"/>
      <c r="AC12" s="7"/>
      <c r="AD12" s="7"/>
      <c r="AE12" s="7"/>
      <c r="AF12" s="7"/>
      <c r="AG12" s="7"/>
      <c r="AH12" s="7"/>
      <c r="AI12" s="7"/>
      <c r="AJ12" s="7"/>
      <c r="AK12" s="7"/>
      <c r="AL12" s="4"/>
    </row>
    <row r="13" spans="1:38">
      <c r="A13" s="4"/>
      <c r="B13" s="4"/>
      <c r="C13" s="7"/>
      <c r="D13" s="7" t="s">
        <v>1820</v>
      </c>
      <c r="E13" s="7"/>
      <c r="F13" s="7"/>
      <c r="G13" s="7"/>
      <c r="H13" s="7"/>
      <c r="I13" s="7"/>
      <c r="J13" s="7"/>
      <c r="K13" s="7"/>
      <c r="L13" s="7"/>
      <c r="M13" s="7"/>
      <c r="N13" s="7"/>
      <c r="O13" s="7"/>
      <c r="P13" s="7"/>
      <c r="Q13" s="7"/>
      <c r="R13" s="7"/>
      <c r="S13" s="7"/>
      <c r="T13" s="7"/>
      <c r="U13" s="7"/>
      <c r="V13" s="7"/>
      <c r="W13" s="7"/>
      <c r="X13" s="7"/>
      <c r="Y13" s="7"/>
      <c r="Z13" s="7"/>
      <c r="AA13" s="7"/>
      <c r="AB13" s="7"/>
      <c r="AC13" s="7"/>
      <c r="AD13" s="7"/>
      <c r="AE13" s="7"/>
      <c r="AF13" s="7"/>
      <c r="AG13" s="7"/>
      <c r="AH13" s="7"/>
      <c r="AI13" s="7"/>
      <c r="AJ13" s="7"/>
      <c r="AK13" s="7"/>
      <c r="AL13" s="4"/>
    </row>
    <row r="14" spans="1:38">
      <c r="A14" s="4"/>
      <c r="B14" s="4"/>
      <c r="C14" s="7"/>
      <c r="D14" s="7"/>
      <c r="E14" s="7"/>
      <c r="F14" s="7"/>
      <c r="G14" s="7"/>
      <c r="H14" s="7"/>
      <c r="I14" s="7"/>
      <c r="J14" s="7"/>
      <c r="K14" s="7"/>
      <c r="L14" s="7"/>
      <c r="M14" s="7"/>
      <c r="N14" s="7"/>
      <c r="O14" s="7"/>
      <c r="P14" s="7"/>
      <c r="Q14" s="7"/>
      <c r="R14" s="7"/>
      <c r="S14" s="7"/>
      <c r="T14" s="7"/>
      <c r="U14" s="7"/>
      <c r="V14" s="7"/>
      <c r="W14" s="7"/>
      <c r="X14" s="7"/>
      <c r="Y14" s="7"/>
      <c r="Z14" s="7"/>
      <c r="AA14" s="7"/>
      <c r="AB14" s="7"/>
      <c r="AC14" s="7"/>
      <c r="AD14" s="7"/>
      <c r="AE14" s="7"/>
      <c r="AF14" s="7"/>
      <c r="AG14" s="7"/>
      <c r="AH14" s="7"/>
      <c r="AI14" s="7"/>
      <c r="AJ14" s="7"/>
      <c r="AK14" s="7"/>
      <c r="AL14" s="4"/>
    </row>
    <row r="15" spans="1:38">
      <c r="A15" s="4"/>
      <c r="B15" s="4"/>
      <c r="C15" s="7"/>
      <c r="D15" s="7" t="s">
        <v>1821</v>
      </c>
      <c r="E15" s="7"/>
      <c r="F15" s="7"/>
      <c r="G15" s="7"/>
      <c r="H15" s="7"/>
      <c r="I15" s="7"/>
      <c r="J15" s="7"/>
      <c r="K15" s="7"/>
      <c r="L15" s="7"/>
      <c r="M15" s="7"/>
      <c r="N15" s="7"/>
      <c r="O15" s="7"/>
      <c r="P15" s="7"/>
      <c r="Q15" s="7"/>
      <c r="R15" s="7"/>
      <c r="S15" s="7"/>
      <c r="T15" s="7"/>
      <c r="U15" s="7"/>
      <c r="V15" s="7"/>
      <c r="W15" s="7"/>
      <c r="X15" s="7"/>
      <c r="Y15" s="7"/>
      <c r="Z15" s="7"/>
      <c r="AA15" s="7"/>
      <c r="AB15" s="7"/>
      <c r="AC15" s="7"/>
      <c r="AD15" s="7"/>
      <c r="AE15" s="7"/>
      <c r="AF15" s="7"/>
      <c r="AG15" s="7"/>
      <c r="AH15" s="7"/>
      <c r="AI15" s="7"/>
      <c r="AJ15" s="7"/>
      <c r="AK15" s="7"/>
      <c r="AL15" s="4"/>
    </row>
    <row r="16" spans="1:38">
      <c r="A16" s="4"/>
      <c r="B16" s="4"/>
      <c r="C16" s="7"/>
      <c r="D16" s="7"/>
      <c r="E16" s="7"/>
      <c r="F16" s="7"/>
      <c r="G16" s="7"/>
      <c r="H16" s="7"/>
      <c r="I16" s="7"/>
      <c r="J16" s="7"/>
      <c r="K16" s="7"/>
      <c r="L16" s="7"/>
      <c r="M16" s="7"/>
      <c r="N16" s="7"/>
      <c r="O16" s="7"/>
      <c r="P16" s="7"/>
      <c r="Q16" s="7"/>
      <c r="R16" s="7"/>
      <c r="S16" s="7"/>
      <c r="T16" s="7"/>
      <c r="U16" s="7"/>
      <c r="V16" s="7"/>
      <c r="W16" s="7"/>
      <c r="X16" s="7"/>
      <c r="Y16" s="7"/>
      <c r="Z16" s="7"/>
      <c r="AA16" s="7"/>
      <c r="AB16" s="7"/>
      <c r="AC16" s="7"/>
      <c r="AD16" s="7"/>
      <c r="AE16" s="7"/>
      <c r="AF16" s="7"/>
      <c r="AG16" s="7"/>
      <c r="AH16" s="7"/>
      <c r="AI16" s="7"/>
      <c r="AJ16" s="7"/>
      <c r="AK16" s="7"/>
      <c r="AL16" s="4"/>
    </row>
    <row r="17" spans="1:38">
      <c r="A17" s="4"/>
      <c r="B17" s="4"/>
      <c r="C17" s="7"/>
      <c r="D17" s="170" t="s">
        <v>170</v>
      </c>
      <c r="E17" s="357"/>
      <c r="F17" s="7"/>
      <c r="G17" s="7"/>
      <c r="H17" s="7"/>
      <c r="I17" s="7"/>
      <c r="J17" s="7"/>
      <c r="K17" s="7"/>
      <c r="L17" s="7"/>
      <c r="M17" s="7"/>
      <c r="N17" s="7"/>
      <c r="O17" s="7"/>
      <c r="P17" s="7"/>
      <c r="Q17" s="7"/>
      <c r="R17" s="7"/>
      <c r="S17" s="7"/>
      <c r="T17" s="7"/>
      <c r="U17" s="7"/>
      <c r="V17" s="7"/>
      <c r="W17" s="7"/>
      <c r="X17" s="7"/>
      <c r="Y17" s="7"/>
      <c r="Z17" s="7"/>
      <c r="AA17" s="7"/>
      <c r="AB17" s="7"/>
      <c r="AC17" s="7"/>
      <c r="AD17" s="7"/>
      <c r="AE17" s="7"/>
      <c r="AF17" s="7"/>
      <c r="AG17" s="7"/>
      <c r="AH17" s="7"/>
      <c r="AI17" s="7"/>
      <c r="AJ17" s="7"/>
      <c r="AK17" s="7"/>
      <c r="AL17" s="4"/>
    </row>
    <row r="18" spans="1:38">
      <c r="A18" s="4"/>
      <c r="B18" s="4"/>
      <c r="C18" s="7"/>
      <c r="D18" s="170" t="s">
        <v>1822</v>
      </c>
      <c r="E18" s="357"/>
      <c r="F18" s="159"/>
      <c r="G18" s="7"/>
      <c r="H18" s="7"/>
      <c r="I18" s="7"/>
      <c r="J18" s="7"/>
      <c r="K18" s="7"/>
      <c r="L18" s="7"/>
      <c r="M18" s="7"/>
      <c r="N18" s="7"/>
      <c r="O18" s="7"/>
      <c r="P18" s="7"/>
      <c r="Q18" s="7"/>
      <c r="R18" s="7"/>
      <c r="S18" s="7"/>
      <c r="T18" s="7"/>
      <c r="U18" s="7"/>
      <c r="V18" s="7"/>
      <c r="W18" s="7"/>
      <c r="X18" s="7"/>
      <c r="Y18" s="7"/>
      <c r="Z18" s="7"/>
      <c r="AA18" s="7"/>
      <c r="AB18" s="7"/>
      <c r="AC18" s="7"/>
      <c r="AD18" s="7"/>
      <c r="AE18" s="7"/>
      <c r="AF18" s="7"/>
      <c r="AG18" s="7"/>
      <c r="AH18" s="7"/>
      <c r="AI18" s="7"/>
      <c r="AJ18" s="7"/>
      <c r="AK18" s="7"/>
      <c r="AL18" s="4"/>
    </row>
    <row r="19" spans="1:38">
      <c r="A19" s="4"/>
      <c r="B19" s="4"/>
      <c r="C19" s="7"/>
      <c r="D19" s="170" t="s">
        <v>1823</v>
      </c>
      <c r="E19" s="357"/>
      <c r="F19" s="159"/>
      <c r="G19" s="7"/>
      <c r="H19" s="7"/>
      <c r="I19" s="7"/>
      <c r="J19" s="7"/>
      <c r="K19" s="7"/>
      <c r="L19" s="7"/>
      <c r="M19" s="7"/>
      <c r="N19" s="7"/>
      <c r="O19" s="7"/>
      <c r="P19" s="7"/>
      <c r="Q19" s="7"/>
      <c r="R19" s="7"/>
      <c r="S19" s="7"/>
      <c r="T19" s="7"/>
      <c r="U19" s="7"/>
      <c r="V19" s="7"/>
      <c r="W19" s="7"/>
      <c r="X19" s="7"/>
      <c r="Y19" s="7"/>
      <c r="Z19" s="7"/>
      <c r="AA19" s="7"/>
      <c r="AB19" s="7"/>
      <c r="AC19" s="7"/>
      <c r="AD19" s="7"/>
      <c r="AE19" s="7"/>
      <c r="AF19" s="7"/>
      <c r="AG19" s="7"/>
      <c r="AH19" s="7"/>
      <c r="AI19" s="7"/>
      <c r="AJ19" s="7"/>
      <c r="AK19" s="7"/>
      <c r="AL19" s="4"/>
    </row>
    <row r="20" spans="1:38">
      <c r="A20" s="4"/>
      <c r="B20" s="4"/>
      <c r="C20" s="7"/>
      <c r="D20" s="7"/>
      <c r="E20" s="7"/>
      <c r="F20" s="7"/>
      <c r="G20" s="7"/>
      <c r="H20" s="7"/>
      <c r="I20" s="7"/>
      <c r="J20" s="7"/>
      <c r="K20" s="7"/>
      <c r="L20" s="7"/>
      <c r="M20" s="7"/>
      <c r="N20" s="7"/>
      <c r="O20" s="7"/>
      <c r="P20" s="7"/>
      <c r="Q20" s="7"/>
      <c r="R20" s="7"/>
      <c r="S20" s="7"/>
      <c r="T20" s="7"/>
      <c r="U20" s="7"/>
      <c r="V20" s="7"/>
      <c r="W20" s="7"/>
      <c r="X20" s="7"/>
      <c r="Y20" s="7"/>
      <c r="Z20" s="7"/>
      <c r="AA20" s="7"/>
      <c r="AB20" s="7"/>
      <c r="AC20" s="7"/>
      <c r="AD20" s="7"/>
      <c r="AE20" s="7"/>
      <c r="AF20" s="7"/>
      <c r="AG20" s="7"/>
      <c r="AH20" s="7"/>
      <c r="AI20" s="7"/>
      <c r="AJ20" s="7"/>
      <c r="AK20" s="7"/>
      <c r="AL20" s="4"/>
    </row>
    <row r="21" spans="1:38">
      <c r="A21" s="4"/>
      <c r="B21" s="4"/>
      <c r="C21" s="4"/>
      <c r="D21" s="4"/>
      <c r="E21" s="4"/>
      <c r="F21" s="4"/>
      <c r="G21" s="4"/>
      <c r="H21" s="4"/>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row>
    <row r="22" spans="1:38" s="123" customFormat="1" ht="18.600000000000001">
      <c r="A22" s="102"/>
      <c r="B22" s="102"/>
      <c r="C22" s="102" t="s">
        <v>181</v>
      </c>
      <c r="D22" s="102"/>
      <c r="E22" s="102"/>
      <c r="F22" s="102"/>
      <c r="G22" s="102"/>
      <c r="H22" s="102"/>
      <c r="I22" s="102"/>
      <c r="J22" s="102"/>
      <c r="K22" s="102"/>
      <c r="L22" s="102"/>
      <c r="M22" s="102"/>
      <c r="N22" s="102"/>
      <c r="O22" s="102"/>
      <c r="P22" s="102"/>
      <c r="Q22" s="102"/>
      <c r="R22" s="102"/>
      <c r="S22" s="102"/>
      <c r="T22" s="102"/>
      <c r="U22" s="102"/>
      <c r="V22" s="102"/>
      <c r="W22" s="102"/>
      <c r="X22" s="102"/>
      <c r="Y22" s="102"/>
      <c r="Z22" s="102"/>
      <c r="AA22" s="102"/>
      <c r="AB22" s="102"/>
      <c r="AC22" s="102"/>
      <c r="AD22" s="102"/>
      <c r="AE22" s="102"/>
      <c r="AF22" s="102"/>
      <c r="AG22" s="102"/>
      <c r="AH22" s="102"/>
      <c r="AI22" s="102"/>
      <c r="AJ22" s="102"/>
      <c r="AK22" s="102"/>
      <c r="AL22" s="102"/>
    </row>
    <row r="23" spans="1:38" outlineLevel="1">
      <c r="A23" s="4"/>
      <c r="B23" s="4"/>
      <c r="C23" s="4"/>
      <c r="D23" s="4"/>
      <c r="E23" s="4"/>
      <c r="F23" s="4"/>
      <c r="G23" s="4"/>
      <c r="H23" s="4"/>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row>
    <row r="24" spans="1:38" outlineLevel="1">
      <c r="A24" s="4"/>
      <c r="B24" s="4"/>
      <c r="C24" s="7"/>
      <c r="D24" s="7"/>
      <c r="E24" s="7"/>
      <c r="F24" s="7"/>
      <c r="G24" s="7"/>
      <c r="H24" s="7"/>
      <c r="I24" s="7"/>
      <c r="J24" s="7"/>
      <c r="K24" s="7"/>
      <c r="L24" s="7"/>
      <c r="M24" s="7"/>
      <c r="N24" s="7"/>
      <c r="O24" s="7"/>
      <c r="P24" s="7"/>
      <c r="Q24" s="7"/>
      <c r="R24" s="7"/>
      <c r="S24" s="7"/>
      <c r="T24" s="7"/>
      <c r="U24" s="7"/>
      <c r="V24" s="7"/>
      <c r="W24" s="7"/>
      <c r="X24" s="7"/>
      <c r="Y24" s="7"/>
      <c r="Z24" s="7"/>
      <c r="AA24" s="7"/>
      <c r="AB24" s="7"/>
      <c r="AC24" s="7"/>
      <c r="AD24" s="7"/>
      <c r="AE24" s="7"/>
      <c r="AF24" s="7"/>
      <c r="AG24" s="7"/>
      <c r="AH24" s="7"/>
      <c r="AI24" s="7"/>
      <c r="AJ24" s="7"/>
      <c r="AK24" s="7"/>
      <c r="AL24" s="4"/>
    </row>
    <row r="25" spans="1:38" ht="16.5" outlineLevel="1">
      <c r="A25" s="4"/>
      <c r="B25" s="4"/>
      <c r="C25" s="7"/>
      <c r="D25" s="7"/>
      <c r="E25" s="7"/>
      <c r="F25" s="7"/>
      <c r="G25" s="7"/>
      <c r="H25" s="7"/>
      <c r="I25" s="7"/>
      <c r="J25" s="7"/>
      <c r="K25" s="7"/>
      <c r="L25" s="7"/>
      <c r="M25" s="7"/>
      <c r="N25" s="7"/>
      <c r="O25" s="7"/>
      <c r="P25" s="7"/>
      <c r="Q25" s="7"/>
      <c r="R25" s="7"/>
      <c r="S25" s="7"/>
      <c r="T25" s="7"/>
      <c r="U25" s="7"/>
      <c r="V25" s="7"/>
      <c r="W25" s="709" t="s">
        <v>1824</v>
      </c>
      <c r="X25" s="709"/>
      <c r="Y25" s="709" t="s">
        <v>1825</v>
      </c>
      <c r="Z25" s="709"/>
      <c r="AA25" s="7"/>
      <c r="AB25" s="7"/>
      <c r="AC25" s="7"/>
      <c r="AD25" s="7"/>
      <c r="AE25" s="7"/>
      <c r="AF25" s="7"/>
      <c r="AG25" s="7"/>
      <c r="AH25" s="7"/>
      <c r="AI25" s="7"/>
      <c r="AJ25" s="7"/>
      <c r="AK25" s="7"/>
      <c r="AL25" s="4"/>
    </row>
    <row r="26" spans="1:38" s="2" customFormat="1" ht="29.1" outlineLevel="1">
      <c r="A26" s="8"/>
      <c r="B26" s="8"/>
      <c r="C26" s="54"/>
      <c r="D26" s="18" t="s">
        <v>1826</v>
      </c>
      <c r="E26" s="18" t="s">
        <v>1827</v>
      </c>
      <c r="F26" s="18" t="s">
        <v>138</v>
      </c>
      <c r="G26" s="120" t="s">
        <v>267</v>
      </c>
      <c r="H26" s="120" t="s">
        <v>898</v>
      </c>
      <c r="I26" s="120" t="s">
        <v>1828</v>
      </c>
      <c r="J26" s="120" t="s">
        <v>1829</v>
      </c>
      <c r="K26" s="18" t="s">
        <v>1830</v>
      </c>
      <c r="L26" s="18" t="s">
        <v>1831</v>
      </c>
      <c r="M26" s="18" t="s">
        <v>1832</v>
      </c>
      <c r="N26" s="18" t="s">
        <v>1833</v>
      </c>
      <c r="O26" s="18" t="s">
        <v>1834</v>
      </c>
      <c r="P26" s="18" t="s">
        <v>1835</v>
      </c>
      <c r="Q26" s="18" t="s">
        <v>1836</v>
      </c>
      <c r="R26" s="18" t="s">
        <v>1837</v>
      </c>
      <c r="S26" s="18" t="s">
        <v>1838</v>
      </c>
      <c r="T26" s="18" t="s">
        <v>1839</v>
      </c>
      <c r="U26" s="18" t="s">
        <v>1439</v>
      </c>
      <c r="V26" s="18" t="s">
        <v>170</v>
      </c>
      <c r="W26" s="18" t="s">
        <v>1840</v>
      </c>
      <c r="X26" s="18" t="s">
        <v>1841</v>
      </c>
      <c r="Y26" s="18" t="s">
        <v>1842</v>
      </c>
      <c r="Z26" s="18" t="s">
        <v>1843</v>
      </c>
      <c r="AA26" s="18" t="s">
        <v>258</v>
      </c>
      <c r="AB26" s="18" t="s">
        <v>1844</v>
      </c>
      <c r="AC26" s="18" t="s">
        <v>263</v>
      </c>
      <c r="AD26" s="18" t="s">
        <v>822</v>
      </c>
      <c r="AE26" s="18" t="s">
        <v>1845</v>
      </c>
      <c r="AF26" s="18" t="s">
        <v>1846</v>
      </c>
      <c r="AG26" s="18" t="s">
        <v>1847</v>
      </c>
      <c r="AH26" s="18" t="s">
        <v>1848</v>
      </c>
      <c r="AI26" s="18" t="s">
        <v>1534</v>
      </c>
      <c r="AJ26" s="18" t="s">
        <v>1849</v>
      </c>
      <c r="AK26" s="54"/>
      <c r="AL26" s="8"/>
    </row>
    <row r="27" spans="1:38" s="2" customFormat="1" ht="43.5" outlineLevel="1">
      <c r="A27" s="8"/>
      <c r="B27" s="8"/>
      <c r="C27" s="54"/>
      <c r="D27" s="266">
        <v>1</v>
      </c>
      <c r="E27" s="18" t="s">
        <v>1850</v>
      </c>
      <c r="F27" s="18" t="s">
        <v>1851</v>
      </c>
      <c r="G27" s="16" t="s">
        <v>326</v>
      </c>
      <c r="H27" s="18" t="s">
        <v>899</v>
      </c>
      <c r="I27" s="18" t="s">
        <v>1015</v>
      </c>
      <c r="J27" s="18" t="s">
        <v>1210</v>
      </c>
      <c r="K27" s="18" t="s">
        <v>922</v>
      </c>
      <c r="L27" s="18" t="s">
        <v>1852</v>
      </c>
      <c r="M27" s="18" t="s">
        <v>1853</v>
      </c>
      <c r="N27" s="266" t="s">
        <v>1210</v>
      </c>
      <c r="O27" s="266" t="s">
        <v>1210</v>
      </c>
      <c r="P27" s="18" t="s">
        <v>1182</v>
      </c>
      <c r="Q27" s="18" t="s">
        <v>1182</v>
      </c>
      <c r="R27" s="314">
        <v>0</v>
      </c>
      <c r="S27" s="314">
        <v>0</v>
      </c>
      <c r="T27" s="314">
        <v>0</v>
      </c>
      <c r="U27" s="334">
        <v>0.99990000000000001</v>
      </c>
      <c r="V27" s="266">
        <v>8</v>
      </c>
      <c r="W27" s="266">
        <v>0</v>
      </c>
      <c r="X27" s="266">
        <v>0</v>
      </c>
      <c r="Y27" s="266">
        <v>0</v>
      </c>
      <c r="Z27" s="266">
        <v>1</v>
      </c>
      <c r="AA27" s="314">
        <v>0</v>
      </c>
      <c r="AB27" s="314" t="s">
        <v>1854</v>
      </c>
      <c r="AC27" s="314"/>
      <c r="AD27" s="18"/>
      <c r="AE27" s="18"/>
      <c r="AF27" s="18"/>
      <c r="AG27" s="18"/>
      <c r="AH27" s="18"/>
      <c r="AI27" s="356" t="s">
        <v>1855</v>
      </c>
      <c r="AJ27" s="314">
        <v>0</v>
      </c>
      <c r="AK27" s="54"/>
      <c r="AL27" s="8"/>
    </row>
    <row r="28" spans="1:38" s="2" customFormat="1" ht="57.95" outlineLevel="1">
      <c r="A28" s="8"/>
      <c r="B28" s="8"/>
      <c r="C28" s="54"/>
      <c r="D28" s="266">
        <v>2</v>
      </c>
      <c r="E28" s="18" t="s">
        <v>1850</v>
      </c>
      <c r="F28" s="18" t="s">
        <v>1856</v>
      </c>
      <c r="G28" s="16" t="s">
        <v>319</v>
      </c>
      <c r="H28" s="18" t="s">
        <v>899</v>
      </c>
      <c r="I28" s="18" t="s">
        <v>1015</v>
      </c>
      <c r="J28" s="18" t="s">
        <v>1210</v>
      </c>
      <c r="K28" s="18" t="s">
        <v>1857</v>
      </c>
      <c r="L28" s="18" t="s">
        <v>1858</v>
      </c>
      <c r="M28" s="18" t="s">
        <v>1853</v>
      </c>
      <c r="N28" s="266" t="s">
        <v>1210</v>
      </c>
      <c r="O28" s="266" t="s">
        <v>1210</v>
      </c>
      <c r="P28" s="18" t="s">
        <v>1182</v>
      </c>
      <c r="Q28" s="18" t="s">
        <v>1182</v>
      </c>
      <c r="R28" s="314">
        <v>0</v>
      </c>
      <c r="S28" s="314">
        <v>0</v>
      </c>
      <c r="T28" s="314">
        <v>0</v>
      </c>
      <c r="U28" s="334">
        <v>1</v>
      </c>
      <c r="V28" s="266">
        <v>8</v>
      </c>
      <c r="W28" s="266">
        <v>0</v>
      </c>
      <c r="X28" s="266">
        <v>0</v>
      </c>
      <c r="Y28" s="266">
        <v>0</v>
      </c>
      <c r="Z28" s="266">
        <v>1</v>
      </c>
      <c r="AA28" s="314">
        <v>0</v>
      </c>
      <c r="AB28" s="314" t="s">
        <v>1854</v>
      </c>
      <c r="AC28" s="314"/>
      <c r="AD28" s="18"/>
      <c r="AE28" s="18"/>
      <c r="AF28" s="18"/>
      <c r="AG28" s="18"/>
      <c r="AH28" s="18"/>
      <c r="AI28" s="356" t="s">
        <v>1855</v>
      </c>
      <c r="AJ28" s="314">
        <v>0</v>
      </c>
      <c r="AK28" s="54"/>
      <c r="AL28" s="8"/>
    </row>
    <row r="29" spans="1:38" s="2" customFormat="1" ht="57.95" outlineLevel="1">
      <c r="A29" s="8"/>
      <c r="B29" s="8"/>
      <c r="C29" s="54"/>
      <c r="D29" s="266">
        <v>2</v>
      </c>
      <c r="E29" s="18" t="s">
        <v>1850</v>
      </c>
      <c r="F29" s="18" t="s">
        <v>1859</v>
      </c>
      <c r="G29" s="16" t="s">
        <v>314</v>
      </c>
      <c r="H29" s="18" t="s">
        <v>899</v>
      </c>
      <c r="I29" s="18" t="s">
        <v>1015</v>
      </c>
      <c r="J29" s="18" t="s">
        <v>1399</v>
      </c>
      <c r="K29" s="18" t="s">
        <v>1857</v>
      </c>
      <c r="L29" s="18" t="s">
        <v>1858</v>
      </c>
      <c r="M29" s="18" t="s">
        <v>1853</v>
      </c>
      <c r="N29" s="266" t="s">
        <v>1860</v>
      </c>
      <c r="O29" s="266" t="s">
        <v>1860</v>
      </c>
      <c r="P29" s="18"/>
      <c r="Q29" s="18"/>
      <c r="R29" s="314">
        <v>0</v>
      </c>
      <c r="S29" s="314">
        <v>0</v>
      </c>
      <c r="T29" s="314">
        <v>0</v>
      </c>
      <c r="U29" s="334">
        <v>0.999</v>
      </c>
      <c r="V29" s="266">
        <v>8</v>
      </c>
      <c r="W29" s="266">
        <v>0</v>
      </c>
      <c r="X29" s="266">
        <v>0</v>
      </c>
      <c r="Y29" s="266">
        <v>0</v>
      </c>
      <c r="Z29" s="266">
        <v>1</v>
      </c>
      <c r="AA29" s="314">
        <v>0</v>
      </c>
      <c r="AB29" s="314" t="s">
        <v>1854</v>
      </c>
      <c r="AC29" s="314"/>
      <c r="AD29" s="18"/>
      <c r="AE29" s="18"/>
      <c r="AF29" s="18"/>
      <c r="AG29" s="18"/>
      <c r="AH29" s="18"/>
      <c r="AI29" s="356" t="s">
        <v>1855</v>
      </c>
      <c r="AJ29" s="314">
        <v>0</v>
      </c>
      <c r="AK29" s="54"/>
      <c r="AL29" s="8"/>
    </row>
    <row r="30" spans="1:38" s="2" customFormat="1" ht="43.5" outlineLevel="1">
      <c r="A30" s="8"/>
      <c r="B30" s="8"/>
      <c r="C30" s="54"/>
      <c r="D30" s="266">
        <v>2</v>
      </c>
      <c r="E30" s="18" t="s">
        <v>1850</v>
      </c>
      <c r="F30" s="18" t="s">
        <v>1861</v>
      </c>
      <c r="G30" s="18" t="s">
        <v>326</v>
      </c>
      <c r="H30" s="18" t="s">
        <v>899</v>
      </c>
      <c r="I30" s="18" t="s">
        <v>1015</v>
      </c>
      <c r="J30" s="18" t="s">
        <v>1399</v>
      </c>
      <c r="K30" s="18" t="s">
        <v>1857</v>
      </c>
      <c r="L30" s="18" t="s">
        <v>1862</v>
      </c>
      <c r="M30" s="18" t="s">
        <v>1853</v>
      </c>
      <c r="N30" s="266" t="s">
        <v>1860</v>
      </c>
      <c r="O30" s="266" t="s">
        <v>1860</v>
      </c>
      <c r="P30" s="18"/>
      <c r="Q30" s="18"/>
      <c r="R30" s="314">
        <v>0</v>
      </c>
      <c r="S30" s="314">
        <v>0</v>
      </c>
      <c r="T30" s="314">
        <v>0</v>
      </c>
      <c r="U30" s="334">
        <v>0.999</v>
      </c>
      <c r="V30" s="266">
        <v>8</v>
      </c>
      <c r="W30" s="266">
        <v>0</v>
      </c>
      <c r="X30" s="266">
        <v>0</v>
      </c>
      <c r="Y30" s="266">
        <v>0</v>
      </c>
      <c r="Z30" s="266">
        <v>1</v>
      </c>
      <c r="AA30" s="314">
        <v>0</v>
      </c>
      <c r="AB30" s="314" t="s">
        <v>1854</v>
      </c>
      <c r="AC30" s="314"/>
      <c r="AD30" s="18"/>
      <c r="AE30" s="18"/>
      <c r="AF30" s="18"/>
      <c r="AG30" s="18"/>
      <c r="AH30" s="18"/>
      <c r="AI30" s="356" t="s">
        <v>1855</v>
      </c>
      <c r="AJ30" s="314">
        <v>0</v>
      </c>
      <c r="AK30" s="54"/>
      <c r="AL30" s="8"/>
    </row>
    <row r="31" spans="1:38" s="2" customFormat="1" ht="43.5" outlineLevel="1">
      <c r="A31" s="8"/>
      <c r="B31" s="8"/>
      <c r="C31" s="54"/>
      <c r="D31" s="113">
        <v>2</v>
      </c>
      <c r="E31" s="18" t="s">
        <v>1850</v>
      </c>
      <c r="F31" s="18" t="s">
        <v>1863</v>
      </c>
      <c r="G31" s="16" t="s">
        <v>335</v>
      </c>
      <c r="H31" s="18" t="s">
        <v>899</v>
      </c>
      <c r="I31" s="18" t="s">
        <v>1015</v>
      </c>
      <c r="J31" s="18" t="s">
        <v>1399</v>
      </c>
      <c r="K31" s="18" t="s">
        <v>1857</v>
      </c>
      <c r="L31" s="16"/>
      <c r="M31" s="18" t="s">
        <v>1853</v>
      </c>
      <c r="N31" s="266" t="s">
        <v>1860</v>
      </c>
      <c r="O31" s="266" t="s">
        <v>1860</v>
      </c>
      <c r="P31" s="18"/>
      <c r="Q31" s="18"/>
      <c r="R31" s="314">
        <v>0</v>
      </c>
      <c r="S31" s="314">
        <v>0</v>
      </c>
      <c r="T31" s="314">
        <v>0</v>
      </c>
      <c r="U31" s="354">
        <v>0.999</v>
      </c>
      <c r="V31" s="113">
        <v>8</v>
      </c>
      <c r="W31" s="266">
        <v>0</v>
      </c>
      <c r="X31" s="113">
        <v>0</v>
      </c>
      <c r="Y31" s="113">
        <v>0</v>
      </c>
      <c r="Z31" s="113">
        <v>1</v>
      </c>
      <c r="AA31" s="314">
        <v>0</v>
      </c>
      <c r="AB31" s="314" t="s">
        <v>1854</v>
      </c>
      <c r="AC31" s="314"/>
      <c r="AD31" s="16"/>
      <c r="AE31" s="16"/>
      <c r="AF31" s="16"/>
      <c r="AG31" s="16"/>
      <c r="AH31" s="16"/>
      <c r="AI31" s="356" t="s">
        <v>1855</v>
      </c>
      <c r="AJ31" s="314">
        <v>0</v>
      </c>
      <c r="AK31" s="54"/>
      <c r="AL31" s="8"/>
    </row>
    <row r="32" spans="1:38" s="2" customFormat="1" ht="43.5" outlineLevel="1">
      <c r="A32" s="8"/>
      <c r="B32" s="8"/>
      <c r="C32" s="54"/>
      <c r="D32" s="266">
        <v>2</v>
      </c>
      <c r="E32" s="18" t="s">
        <v>1850</v>
      </c>
      <c r="F32" s="18" t="s">
        <v>203</v>
      </c>
      <c r="G32" s="16" t="s">
        <v>322</v>
      </c>
      <c r="H32" s="18" t="s">
        <v>899</v>
      </c>
      <c r="I32" s="18" t="s">
        <v>1015</v>
      </c>
      <c r="J32" s="18" t="s">
        <v>1399</v>
      </c>
      <c r="K32" s="18" t="s">
        <v>1857</v>
      </c>
      <c r="L32" s="18"/>
      <c r="M32" s="18" t="s">
        <v>1853</v>
      </c>
      <c r="N32" s="266" t="s">
        <v>1860</v>
      </c>
      <c r="O32" s="266" t="s">
        <v>1860</v>
      </c>
      <c r="P32" s="18"/>
      <c r="Q32" s="18"/>
      <c r="R32" s="314">
        <v>0</v>
      </c>
      <c r="S32" s="314">
        <v>0</v>
      </c>
      <c r="T32" s="314">
        <v>0</v>
      </c>
      <c r="U32" s="334">
        <v>0.999</v>
      </c>
      <c r="V32" s="266">
        <v>8</v>
      </c>
      <c r="W32" s="266">
        <v>0</v>
      </c>
      <c r="X32" s="266">
        <v>0</v>
      </c>
      <c r="Y32" s="266">
        <v>0</v>
      </c>
      <c r="Z32" s="266">
        <v>1</v>
      </c>
      <c r="AA32" s="314">
        <v>0</v>
      </c>
      <c r="AB32" s="314" t="s">
        <v>1854</v>
      </c>
      <c r="AC32" s="314"/>
      <c r="AD32" s="18"/>
      <c r="AE32" s="18"/>
      <c r="AF32" s="18"/>
      <c r="AG32" s="18"/>
      <c r="AH32" s="18"/>
      <c r="AI32" s="356" t="s">
        <v>1855</v>
      </c>
      <c r="AJ32" s="314">
        <v>0</v>
      </c>
      <c r="AK32" s="54"/>
      <c r="AL32" s="8"/>
    </row>
    <row r="33" spans="1:38" s="2" customFormat="1" ht="43.5" outlineLevel="1">
      <c r="A33" s="8"/>
      <c r="B33" s="8"/>
      <c r="C33" s="54"/>
      <c r="D33" s="266">
        <v>3</v>
      </c>
      <c r="E33" s="18" t="s">
        <v>894</v>
      </c>
      <c r="F33" s="18" t="s">
        <v>834</v>
      </c>
      <c r="G33" s="16" t="s">
        <v>319</v>
      </c>
      <c r="H33" s="18" t="s">
        <v>899</v>
      </c>
      <c r="I33" s="18" t="s">
        <v>1015</v>
      </c>
      <c r="J33" s="18" t="s">
        <v>1399</v>
      </c>
      <c r="K33" s="18" t="s">
        <v>1864</v>
      </c>
      <c r="L33" s="18" t="s">
        <v>1141</v>
      </c>
      <c r="M33" s="18" t="s">
        <v>1853</v>
      </c>
      <c r="N33" s="266" t="s">
        <v>1860</v>
      </c>
      <c r="O33" s="266" t="s">
        <v>1860</v>
      </c>
      <c r="P33" s="18"/>
      <c r="Q33" s="18"/>
      <c r="R33" s="314">
        <v>0</v>
      </c>
      <c r="S33" s="314">
        <v>0</v>
      </c>
      <c r="T33" s="314">
        <v>0</v>
      </c>
      <c r="U33" s="334">
        <v>0.99675000000000002</v>
      </c>
      <c r="V33" s="266">
        <v>8</v>
      </c>
      <c r="W33" s="266">
        <v>0</v>
      </c>
      <c r="X33" s="266">
        <v>1</v>
      </c>
      <c r="Y33" s="266">
        <v>1</v>
      </c>
      <c r="Z33" s="266">
        <v>2</v>
      </c>
      <c r="AA33" s="314">
        <v>2</v>
      </c>
      <c r="AB33" s="369" t="s">
        <v>65</v>
      </c>
      <c r="AC33" s="369" t="s">
        <v>1865</v>
      </c>
      <c r="AD33" s="18"/>
      <c r="AE33" s="18"/>
      <c r="AF33" s="18"/>
      <c r="AG33" s="18"/>
      <c r="AH33" s="18"/>
      <c r="AI33" s="356" t="s">
        <v>1541</v>
      </c>
      <c r="AJ33" s="314">
        <v>0</v>
      </c>
      <c r="AK33" s="54"/>
      <c r="AL33" s="8"/>
    </row>
    <row r="34" spans="1:38" s="2" customFormat="1" ht="43.5" outlineLevel="1">
      <c r="A34" s="8"/>
      <c r="B34" s="8"/>
      <c r="C34" s="54"/>
      <c r="D34" s="266">
        <v>3</v>
      </c>
      <c r="E34" s="18" t="s">
        <v>894</v>
      </c>
      <c r="F34" s="18" t="s">
        <v>1359</v>
      </c>
      <c r="G34" s="16" t="s">
        <v>319</v>
      </c>
      <c r="H34" s="18" t="s">
        <v>899</v>
      </c>
      <c r="I34" s="18" t="s">
        <v>1015</v>
      </c>
      <c r="J34" s="18" t="s">
        <v>1399</v>
      </c>
      <c r="K34" s="18" t="s">
        <v>1864</v>
      </c>
      <c r="L34" s="18" t="s">
        <v>1141</v>
      </c>
      <c r="M34" s="18" t="s">
        <v>1853</v>
      </c>
      <c r="N34" s="266" t="s">
        <v>1860</v>
      </c>
      <c r="O34" s="266" t="s">
        <v>1860</v>
      </c>
      <c r="P34" s="18"/>
      <c r="Q34" s="18"/>
      <c r="R34" s="314">
        <v>0</v>
      </c>
      <c r="S34" s="314">
        <v>0</v>
      </c>
      <c r="T34" s="314">
        <v>0</v>
      </c>
      <c r="U34" s="334">
        <v>0.99675000000000002</v>
      </c>
      <c r="V34" s="266">
        <v>8</v>
      </c>
      <c r="W34" s="266">
        <v>0</v>
      </c>
      <c r="X34" s="266">
        <v>1</v>
      </c>
      <c r="Y34" s="266">
        <v>1</v>
      </c>
      <c r="Z34" s="266">
        <v>2</v>
      </c>
      <c r="AA34" s="314">
        <v>2</v>
      </c>
      <c r="AB34" s="369" t="s">
        <v>65</v>
      </c>
      <c r="AC34" s="369" t="s">
        <v>1865</v>
      </c>
      <c r="AD34" s="18"/>
      <c r="AE34" s="18"/>
      <c r="AF34" s="18"/>
      <c r="AG34" s="18"/>
      <c r="AH34" s="18"/>
      <c r="AI34" s="356" t="s">
        <v>1541</v>
      </c>
      <c r="AJ34" s="314">
        <v>0</v>
      </c>
      <c r="AK34" s="54"/>
      <c r="AL34" s="8"/>
    </row>
    <row r="35" spans="1:38" s="2" customFormat="1" ht="43.5" outlineLevel="1">
      <c r="A35" s="8"/>
      <c r="B35" s="8"/>
      <c r="C35" s="54"/>
      <c r="D35" s="266">
        <v>3</v>
      </c>
      <c r="E35" s="18" t="s">
        <v>1140</v>
      </c>
      <c r="F35" s="18" t="s">
        <v>1140</v>
      </c>
      <c r="G35" s="16" t="s">
        <v>319</v>
      </c>
      <c r="H35" s="18" t="s">
        <v>899</v>
      </c>
      <c r="I35" s="18" t="s">
        <v>1127</v>
      </c>
      <c r="J35" s="18" t="s">
        <v>1866</v>
      </c>
      <c r="K35" s="18" t="s">
        <v>1867</v>
      </c>
      <c r="L35" s="18" t="s">
        <v>894</v>
      </c>
      <c r="M35" s="18" t="s">
        <v>1853</v>
      </c>
      <c r="N35" s="266" t="s">
        <v>1860</v>
      </c>
      <c r="O35" s="266" t="s">
        <v>1860</v>
      </c>
      <c r="P35" s="18"/>
      <c r="Q35" s="18"/>
      <c r="R35" s="314">
        <v>0</v>
      </c>
      <c r="S35" s="314">
        <v>0</v>
      </c>
      <c r="T35" s="314">
        <v>0</v>
      </c>
      <c r="U35" s="334">
        <v>0.98</v>
      </c>
      <c r="V35" s="266">
        <v>8</v>
      </c>
      <c r="W35" s="266">
        <v>1</v>
      </c>
      <c r="X35" s="266">
        <v>2</v>
      </c>
      <c r="Y35" s="266">
        <v>2</v>
      </c>
      <c r="Z35" s="266">
        <v>4</v>
      </c>
      <c r="AA35" s="314">
        <v>2</v>
      </c>
      <c r="AB35" s="314" t="s">
        <v>1854</v>
      </c>
      <c r="AC35" s="314"/>
      <c r="AD35" s="18"/>
      <c r="AE35" s="18"/>
      <c r="AF35" s="18"/>
      <c r="AG35" s="18"/>
      <c r="AH35" s="18"/>
      <c r="AI35" s="356" t="s">
        <v>1541</v>
      </c>
      <c r="AJ35" s="314">
        <v>0</v>
      </c>
      <c r="AK35" s="54"/>
      <c r="AL35" s="8"/>
    </row>
    <row r="36" spans="1:38" s="2" customFormat="1" ht="43.5" outlineLevel="1">
      <c r="A36" s="8"/>
      <c r="B36" s="8"/>
      <c r="C36" s="54"/>
      <c r="D36" s="266">
        <v>3</v>
      </c>
      <c r="E36" s="353" t="s">
        <v>1868</v>
      </c>
      <c r="F36" s="353" t="s">
        <v>1868</v>
      </c>
      <c r="G36" s="16" t="s">
        <v>319</v>
      </c>
      <c r="H36" s="18" t="s">
        <v>899</v>
      </c>
      <c r="I36" s="18" t="s">
        <v>1127</v>
      </c>
      <c r="J36" s="18" t="s">
        <v>1016</v>
      </c>
      <c r="K36" s="18" t="s">
        <v>1869</v>
      </c>
      <c r="L36" s="18"/>
      <c r="M36" s="18" t="s">
        <v>1853</v>
      </c>
      <c r="N36" s="266" t="s">
        <v>1860</v>
      </c>
      <c r="O36" s="266" t="s">
        <v>1860</v>
      </c>
      <c r="P36" s="18"/>
      <c r="Q36" s="18"/>
      <c r="R36" s="314">
        <v>0</v>
      </c>
      <c r="S36" s="314">
        <v>0</v>
      </c>
      <c r="T36" s="314">
        <v>0</v>
      </c>
      <c r="U36" s="334">
        <v>0.98</v>
      </c>
      <c r="V36" s="266">
        <v>8</v>
      </c>
      <c r="W36" s="266">
        <v>1</v>
      </c>
      <c r="X36" s="266">
        <v>2</v>
      </c>
      <c r="Y36" s="266">
        <v>2</v>
      </c>
      <c r="Z36" s="266">
        <v>4</v>
      </c>
      <c r="AA36" s="314">
        <v>2</v>
      </c>
      <c r="AB36" s="314" t="s">
        <v>1854</v>
      </c>
      <c r="AC36" s="314"/>
      <c r="AD36" s="18"/>
      <c r="AE36" s="18"/>
      <c r="AF36" s="18"/>
      <c r="AG36" s="18"/>
      <c r="AH36" s="18"/>
      <c r="AI36" s="356" t="s">
        <v>1541</v>
      </c>
      <c r="AJ36" s="314">
        <v>0</v>
      </c>
      <c r="AK36" s="54"/>
      <c r="AL36" s="8"/>
    </row>
    <row r="37" spans="1:38" s="2" customFormat="1" ht="43.5" outlineLevel="1">
      <c r="A37" s="8"/>
      <c r="B37" s="8"/>
      <c r="C37" s="54"/>
      <c r="D37" s="266">
        <v>3</v>
      </c>
      <c r="E37" s="18" t="s">
        <v>1870</v>
      </c>
      <c r="F37" s="18" t="s">
        <v>1870</v>
      </c>
      <c r="G37" s="16" t="s">
        <v>324</v>
      </c>
      <c r="H37" s="18" t="s">
        <v>1871</v>
      </c>
      <c r="I37" s="18" t="s">
        <v>1015</v>
      </c>
      <c r="J37" s="18" t="s">
        <v>1399</v>
      </c>
      <c r="K37" s="18" t="s">
        <v>1867</v>
      </c>
      <c r="L37" s="18"/>
      <c r="M37" s="18" t="s">
        <v>1853</v>
      </c>
      <c r="N37" s="266" t="s">
        <v>1860</v>
      </c>
      <c r="O37" s="266" t="s">
        <v>1860</v>
      </c>
      <c r="P37" s="18"/>
      <c r="Q37" s="18"/>
      <c r="R37" s="314">
        <v>0</v>
      </c>
      <c r="S37" s="314">
        <v>0</v>
      </c>
      <c r="T37" s="314">
        <v>0</v>
      </c>
      <c r="U37" s="334">
        <v>0.999</v>
      </c>
      <c r="V37" s="266">
        <v>12</v>
      </c>
      <c r="W37" s="266">
        <v>2</v>
      </c>
      <c r="X37" s="266">
        <v>2</v>
      </c>
      <c r="Y37" s="266">
        <v>2</v>
      </c>
      <c r="Z37" s="266">
        <v>4</v>
      </c>
      <c r="AA37" s="314">
        <v>2</v>
      </c>
      <c r="AB37" s="314" t="s">
        <v>1854</v>
      </c>
      <c r="AC37" s="314"/>
      <c r="AD37" s="18"/>
      <c r="AE37" s="18"/>
      <c r="AF37" s="18"/>
      <c r="AG37" s="18"/>
      <c r="AH37" s="18"/>
      <c r="AI37" s="356" t="s">
        <v>1872</v>
      </c>
      <c r="AJ37" s="314">
        <v>0</v>
      </c>
      <c r="AK37" s="54"/>
      <c r="AL37" s="8"/>
    </row>
    <row r="38" spans="1:38" s="2" customFormat="1" ht="43.5" outlineLevel="1">
      <c r="A38" s="8"/>
      <c r="B38" s="8"/>
      <c r="C38" s="54"/>
      <c r="D38" s="266">
        <v>3</v>
      </c>
      <c r="E38" s="18" t="s">
        <v>1862</v>
      </c>
      <c r="F38" s="18" t="s">
        <v>1873</v>
      </c>
      <c r="G38" s="16" t="s">
        <v>331</v>
      </c>
      <c r="H38" s="18" t="s">
        <v>899</v>
      </c>
      <c r="I38" s="18" t="s">
        <v>1015</v>
      </c>
      <c r="J38" s="18" t="s">
        <v>1211</v>
      </c>
      <c r="K38" s="18" t="s">
        <v>1874</v>
      </c>
      <c r="L38" s="18"/>
      <c r="M38" s="18" t="s">
        <v>1853</v>
      </c>
      <c r="N38" s="266" t="s">
        <v>1860</v>
      </c>
      <c r="O38" s="266" t="s">
        <v>1860</v>
      </c>
      <c r="P38" s="18"/>
      <c r="Q38" s="18"/>
      <c r="R38" s="314">
        <v>0</v>
      </c>
      <c r="S38" s="314">
        <v>0</v>
      </c>
      <c r="T38" s="314">
        <v>0</v>
      </c>
      <c r="U38" s="334">
        <v>0.999</v>
      </c>
      <c r="V38" s="266">
        <v>24</v>
      </c>
      <c r="W38" s="266">
        <v>2</v>
      </c>
      <c r="X38" s="266">
        <v>2</v>
      </c>
      <c r="Y38" s="266">
        <v>2</v>
      </c>
      <c r="Z38" s="266">
        <v>4</v>
      </c>
      <c r="AA38" s="314">
        <v>0</v>
      </c>
      <c r="AB38" s="314" t="s">
        <v>1854</v>
      </c>
      <c r="AC38" s="314"/>
      <c r="AD38" s="18"/>
      <c r="AE38" s="18"/>
      <c r="AF38" s="18"/>
      <c r="AG38" s="18"/>
      <c r="AH38" s="18"/>
      <c r="AI38" s="356" t="s">
        <v>1872</v>
      </c>
      <c r="AJ38" s="314">
        <v>0</v>
      </c>
      <c r="AK38" s="54"/>
      <c r="AL38" s="8"/>
    </row>
    <row r="39" spans="1:38" ht="43.5" outlineLevel="1">
      <c r="A39" s="4"/>
      <c r="B39" s="4"/>
      <c r="C39" s="7"/>
      <c r="D39" s="266">
        <v>3</v>
      </c>
      <c r="E39" s="18" t="s">
        <v>1862</v>
      </c>
      <c r="F39" s="18" t="s">
        <v>1875</v>
      </c>
      <c r="G39" s="16" t="s">
        <v>319</v>
      </c>
      <c r="H39" s="18" t="s">
        <v>1876</v>
      </c>
      <c r="I39" s="18" t="s">
        <v>1015</v>
      </c>
      <c r="J39" s="18" t="s">
        <v>1399</v>
      </c>
      <c r="K39" s="18" t="s">
        <v>1874</v>
      </c>
      <c r="L39" s="18"/>
      <c r="M39" s="18" t="s">
        <v>1853</v>
      </c>
      <c r="N39" s="266" t="s">
        <v>1860</v>
      </c>
      <c r="O39" s="266" t="s">
        <v>1860</v>
      </c>
      <c r="P39" s="18"/>
      <c r="Q39" s="18"/>
      <c r="R39" s="314">
        <v>0</v>
      </c>
      <c r="S39" s="314">
        <v>0</v>
      </c>
      <c r="T39" s="314">
        <v>0</v>
      </c>
      <c r="U39" s="334">
        <v>0.999</v>
      </c>
      <c r="V39" s="266">
        <v>12</v>
      </c>
      <c r="W39" s="266">
        <v>2</v>
      </c>
      <c r="X39" s="266">
        <v>2</v>
      </c>
      <c r="Y39" s="266">
        <v>2</v>
      </c>
      <c r="Z39" s="266">
        <v>4</v>
      </c>
      <c r="AA39" s="314">
        <v>2</v>
      </c>
      <c r="AB39" s="314" t="s">
        <v>1854</v>
      </c>
      <c r="AC39" s="314"/>
      <c r="AD39" s="18"/>
      <c r="AE39" s="18"/>
      <c r="AF39" s="18"/>
      <c r="AG39" s="18"/>
      <c r="AH39" s="18"/>
      <c r="AI39" s="356" t="s">
        <v>1872</v>
      </c>
      <c r="AJ39" s="314">
        <v>0</v>
      </c>
      <c r="AK39" s="7"/>
      <c r="AL39" s="4"/>
    </row>
    <row r="40" spans="1:38" outlineLevel="1">
      <c r="A40" s="4"/>
      <c r="B40" s="4"/>
      <c r="C40" s="7"/>
      <c r="D40" s="7"/>
      <c r="E40" s="7"/>
      <c r="F40" s="7"/>
      <c r="G40" s="7"/>
      <c r="H40" s="7"/>
      <c r="I40" s="7"/>
      <c r="J40" s="7"/>
      <c r="K40" s="7"/>
      <c r="L40" s="7"/>
      <c r="M40" s="7"/>
      <c r="N40" s="7"/>
      <c r="O40" s="7"/>
      <c r="P40" s="7"/>
      <c r="Q40" s="7"/>
      <c r="R40" s="7"/>
      <c r="S40" s="7"/>
      <c r="T40" s="7"/>
      <c r="U40" s="7"/>
      <c r="V40" s="7"/>
      <c r="W40" s="7"/>
      <c r="X40" s="7"/>
      <c r="Y40" s="7"/>
      <c r="Z40" s="7"/>
      <c r="AA40" s="7"/>
      <c r="AB40" s="7"/>
      <c r="AC40" s="7"/>
      <c r="AD40" s="7"/>
      <c r="AE40" s="7"/>
      <c r="AF40" s="7"/>
      <c r="AG40" s="7"/>
      <c r="AH40" s="7"/>
      <c r="AI40" s="7"/>
      <c r="AJ40" s="7"/>
      <c r="AK40" s="7"/>
      <c r="AL40" s="4"/>
    </row>
    <row r="41" spans="1:38">
      <c r="A41" s="4"/>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row>
    <row r="42" spans="1:38" s="123" customFormat="1" ht="18.600000000000001">
      <c r="A42" s="102"/>
      <c r="B42" s="102"/>
      <c r="C42" s="102" t="s">
        <v>1877</v>
      </c>
      <c r="D42" s="102"/>
      <c r="E42" s="102"/>
      <c r="F42" s="102"/>
      <c r="G42" s="102"/>
      <c r="H42" s="102"/>
      <c r="I42" s="102"/>
      <c r="J42" s="102"/>
      <c r="K42" s="102"/>
      <c r="L42" s="102"/>
      <c r="M42" s="102"/>
      <c r="N42" s="102"/>
      <c r="O42" s="102"/>
      <c r="P42" s="102"/>
      <c r="Q42" s="102"/>
      <c r="R42" s="102"/>
      <c r="S42" s="102"/>
      <c r="T42" s="102"/>
      <c r="U42" s="102"/>
      <c r="V42" s="102"/>
      <c r="W42" s="102"/>
      <c r="X42" s="102"/>
      <c r="Y42" s="102"/>
      <c r="Z42" s="102"/>
      <c r="AA42" s="102"/>
      <c r="AB42" s="102"/>
      <c r="AC42" s="102"/>
      <c r="AD42" s="102"/>
      <c r="AE42" s="102"/>
      <c r="AF42" s="102"/>
      <c r="AG42" s="102"/>
      <c r="AH42" s="102"/>
      <c r="AI42" s="102"/>
      <c r="AJ42" s="102"/>
      <c r="AK42" s="102"/>
      <c r="AL42" s="102"/>
    </row>
    <row r="43" spans="1:38" hidden="1" outlineLevel="1">
      <c r="A43" s="4"/>
      <c r="B43" s="4"/>
      <c r="C43" s="4"/>
      <c r="D43" s="4"/>
      <c r="E43" s="4"/>
      <c r="F43" s="4"/>
      <c r="G43" s="4"/>
      <c r="H43" s="4"/>
      <c r="I43" s="4"/>
      <c r="J43" s="4"/>
      <c r="K43" s="4"/>
      <c r="L43" s="4"/>
      <c r="M43" s="4"/>
      <c r="N43" s="4"/>
      <c r="O43" s="4"/>
      <c r="P43" s="4"/>
      <c r="Q43" s="4"/>
      <c r="R43" s="4"/>
      <c r="S43" s="4"/>
      <c r="T43" s="4"/>
      <c r="U43" s="4"/>
      <c r="V43" s="4"/>
      <c r="W43" s="4"/>
      <c r="X43" s="4"/>
      <c r="Y43" s="4"/>
      <c r="Z43" s="4"/>
      <c r="AA43" s="4"/>
      <c r="AB43" s="4"/>
      <c r="AC43" s="4"/>
      <c r="AD43" s="4"/>
      <c r="AE43" s="4"/>
      <c r="AF43" s="4"/>
      <c r="AG43" s="4"/>
      <c r="AH43" s="4"/>
      <c r="AI43" s="4"/>
      <c r="AJ43" s="4"/>
      <c r="AK43" s="4"/>
      <c r="AL43" s="4"/>
    </row>
    <row r="44" spans="1:38" hidden="1" outlineLevel="1">
      <c r="A44" s="4"/>
      <c r="B44" s="4"/>
      <c r="C44" s="7"/>
      <c r="D44" s="7"/>
      <c r="E44" s="7"/>
      <c r="F44" s="7"/>
      <c r="G44" s="7"/>
      <c r="H44" s="7"/>
      <c r="I44" s="7"/>
      <c r="J44" s="7"/>
      <c r="K44" s="7"/>
      <c r="L44" s="7"/>
      <c r="M44" s="7"/>
      <c r="N44" s="7"/>
      <c r="O44" s="7"/>
      <c r="P44" s="7"/>
      <c r="Q44" s="7"/>
      <c r="R44" s="7"/>
      <c r="S44" s="7"/>
      <c r="T44" s="7"/>
      <c r="U44" s="7"/>
      <c r="V44" s="7"/>
      <c r="W44" s="7"/>
      <c r="X44" s="7"/>
      <c r="Y44" s="7"/>
      <c r="Z44" s="7"/>
      <c r="AA44" s="7"/>
      <c r="AB44" s="7"/>
      <c r="AC44" s="7"/>
      <c r="AD44" s="7"/>
      <c r="AE44" s="7"/>
      <c r="AF44" s="7"/>
      <c r="AG44" s="7"/>
      <c r="AH44" s="7"/>
      <c r="AI44" s="7"/>
      <c r="AJ44" s="7"/>
      <c r="AK44" s="7"/>
      <c r="AL44" s="4"/>
    </row>
    <row r="45" spans="1:38" s="2" customFormat="1" hidden="1" outlineLevel="1">
      <c r="A45" s="8"/>
      <c r="B45" s="8"/>
      <c r="C45" s="54"/>
      <c r="D45" s="266" t="s">
        <v>1878</v>
      </c>
      <c r="E45" s="266" t="s">
        <v>1534</v>
      </c>
      <c r="F45" s="266" t="s">
        <v>1879</v>
      </c>
      <c r="G45" s="266" t="s">
        <v>1880</v>
      </c>
      <c r="H45" s="266" t="s">
        <v>1881</v>
      </c>
      <c r="I45" s="266" t="s">
        <v>1882</v>
      </c>
      <c r="J45" s="266" t="s">
        <v>1883</v>
      </c>
      <c r="K45" s="266" t="s">
        <v>1884</v>
      </c>
      <c r="L45" s="54"/>
      <c r="M45" s="54"/>
      <c r="N45" s="54"/>
      <c r="O45" s="54"/>
      <c r="P45" s="54"/>
      <c r="Q45" s="54"/>
      <c r="R45" s="54"/>
      <c r="S45" s="54"/>
      <c r="T45" s="54"/>
      <c r="U45" s="54"/>
      <c r="V45" s="54"/>
      <c r="W45" s="54"/>
      <c r="X45" s="54"/>
      <c r="Y45" s="54"/>
      <c r="Z45" s="54"/>
      <c r="AA45" s="54"/>
      <c r="AB45" s="54"/>
      <c r="AC45" s="54"/>
      <c r="AD45" s="54"/>
      <c r="AE45" s="54"/>
      <c r="AF45" s="54"/>
      <c r="AG45" s="54"/>
      <c r="AH45" s="54"/>
      <c r="AI45" s="54"/>
      <c r="AJ45" s="54"/>
      <c r="AK45" s="54"/>
      <c r="AL45" s="8"/>
    </row>
    <row r="46" spans="1:38" hidden="1" outlineLevel="1">
      <c r="A46" s="4"/>
      <c r="B46" s="4"/>
      <c r="C46" s="7"/>
      <c r="D46" s="113">
        <v>1</v>
      </c>
      <c r="E46" s="113" t="s">
        <v>1855</v>
      </c>
      <c r="F46" s="113">
        <f>_xlfn.MAXIFS(Table648666[MTD],Table648666[Recovery Order (1)],1)</f>
        <v>8</v>
      </c>
      <c r="G46" s="113">
        <f>_xlfn.MINIFS(Table648666[MTD],Table648666[Recovery Order (1)],1)</f>
        <v>8</v>
      </c>
      <c r="H46" s="113">
        <f>_xlfn.MAXIFS(Table648666[Availability RTA (Hours)],Table648666[Recovery Order (1)],1)</f>
        <v>0</v>
      </c>
      <c r="I46" s="113">
        <f>_xlfn.MINIFS(Table648666[Availability RTA (Hours)],Table648666[Recovery Order (1)],1)</f>
        <v>0</v>
      </c>
      <c r="J46" s="113">
        <f>_xlfn.MAXIFS(Table648666[Recovery RTA (Hours)],Table648666[Recovery Order (1)],1)</f>
        <v>1</v>
      </c>
      <c r="K46" s="113">
        <f>_xlfn.MINIFS(Table648666[Recovery RTA (Hours)],Table648666[Recovery Order (1)],1)</f>
        <v>1</v>
      </c>
      <c r="L46" s="159"/>
      <c r="M46" s="159"/>
      <c r="N46" s="159"/>
      <c r="O46" s="159"/>
      <c r="P46" s="159"/>
      <c r="Q46" s="159"/>
      <c r="R46" s="159"/>
      <c r="S46" s="159"/>
      <c r="T46" s="159"/>
      <c r="U46" s="7"/>
      <c r="V46" s="7"/>
      <c r="W46" s="7"/>
      <c r="X46" s="7"/>
      <c r="Y46" s="7"/>
      <c r="Z46" s="7"/>
      <c r="AA46" s="7"/>
      <c r="AB46" s="7"/>
      <c r="AC46" s="7"/>
      <c r="AD46" s="7"/>
      <c r="AE46" s="7"/>
      <c r="AF46" s="7"/>
      <c r="AG46" s="7"/>
      <c r="AH46" s="7"/>
      <c r="AI46" s="7"/>
      <c r="AJ46" s="7"/>
      <c r="AK46" s="7"/>
      <c r="AL46" s="4"/>
    </row>
    <row r="47" spans="1:38" hidden="1" outlineLevel="1">
      <c r="A47" s="4"/>
      <c r="B47" s="4"/>
      <c r="C47" s="7"/>
      <c r="D47" s="113">
        <v>2</v>
      </c>
      <c r="E47" s="113" t="s">
        <v>1855</v>
      </c>
      <c r="F47" s="113">
        <f>_xlfn.MAXIFS(Table648666[MTD],Table648666[Recovery Order (1)],2)</f>
        <v>8</v>
      </c>
      <c r="G47" s="113">
        <f>_xlfn.MINIFS(Table648666[MTD],Table648666[Recovery Order (1)],2)</f>
        <v>8</v>
      </c>
      <c r="H47" s="113">
        <f>_xlfn.MAXIFS(Table648666[Availability RTA (Hours)],Table648666[Recovery Order (1)],2)</f>
        <v>0</v>
      </c>
      <c r="I47" s="113">
        <f>_xlfn.MINIFS(Table648666[Availability RTA (Hours)],Table648666[Recovery Order (1)],2)</f>
        <v>0</v>
      </c>
      <c r="J47" s="113">
        <f>_xlfn.MAXIFS(Table648666[Recovery RTA (Hours)],Table648666[Recovery Order (1)],2)</f>
        <v>1</v>
      </c>
      <c r="K47" s="113">
        <f>_xlfn.MINIFS(Table648666[Recovery RTA (Hours)],Table648666[Recovery Order (1)],2)</f>
        <v>1</v>
      </c>
      <c r="L47" s="159"/>
      <c r="M47" s="159"/>
      <c r="N47" s="159"/>
      <c r="O47" s="159"/>
      <c r="P47" s="159"/>
      <c r="Q47" s="159"/>
      <c r="R47" s="159"/>
      <c r="S47" s="159"/>
      <c r="T47" s="159"/>
      <c r="U47" s="7"/>
      <c r="V47" s="7"/>
      <c r="W47" s="7"/>
      <c r="X47" s="7"/>
      <c r="Y47" s="7"/>
      <c r="Z47" s="7"/>
      <c r="AA47" s="7"/>
      <c r="AB47" s="7"/>
      <c r="AC47" s="7"/>
      <c r="AD47" s="7"/>
      <c r="AE47" s="7"/>
      <c r="AF47" s="7"/>
      <c r="AG47" s="7"/>
      <c r="AH47" s="7"/>
      <c r="AI47" s="7"/>
      <c r="AJ47" s="7"/>
      <c r="AK47" s="7"/>
      <c r="AL47" s="4"/>
    </row>
    <row r="48" spans="1:38" hidden="1" outlineLevel="1">
      <c r="A48" s="4"/>
      <c r="B48" s="4"/>
      <c r="C48" s="7"/>
      <c r="D48" s="113">
        <v>3</v>
      </c>
      <c r="E48" s="113" t="s">
        <v>1541</v>
      </c>
      <c r="F48" s="113">
        <f>_xlfn.MAXIFS(Table648666[MTD],Table648666[Recovery Order (1)],3)</f>
        <v>24</v>
      </c>
      <c r="G48" s="113">
        <f>_xlfn.MINIFS(Table648666[MTD],Table648666[Recovery Order (1)],3)</f>
        <v>8</v>
      </c>
      <c r="H48" s="113">
        <f>_xlfn.MAXIFS(Table648666[Availability RTA (Hours)],Table648666[Recovery Order (1)],3)</f>
        <v>2</v>
      </c>
      <c r="I48" s="113">
        <f>_xlfn.MINIFS(Table648666[Availability RTA (Hours)],Table648666[Recovery Order (1)],3)</f>
        <v>1</v>
      </c>
      <c r="J48" s="113">
        <f>_xlfn.MAXIFS(Table648666[Recovery RTA (Hours)],Table648666[Recovery Order (1)],3)</f>
        <v>4</v>
      </c>
      <c r="K48" s="113">
        <f>_xlfn.MINIFS(Table648666[Recovery RTA (Hours)],Table648666[Recovery Order (1)],3)</f>
        <v>2</v>
      </c>
      <c r="L48" s="159"/>
      <c r="M48" s="159"/>
      <c r="N48" s="159"/>
      <c r="O48" s="159"/>
      <c r="P48" s="159"/>
      <c r="Q48" s="159"/>
      <c r="R48" s="159"/>
      <c r="S48" s="159"/>
      <c r="T48" s="159"/>
      <c r="U48" s="7"/>
      <c r="V48" s="7"/>
      <c r="W48" s="7"/>
      <c r="X48" s="7"/>
      <c r="Y48" s="7"/>
      <c r="Z48" s="7"/>
      <c r="AA48" s="7"/>
      <c r="AB48" s="7"/>
      <c r="AC48" s="7"/>
      <c r="AD48" s="7"/>
      <c r="AE48" s="7"/>
      <c r="AF48" s="7"/>
      <c r="AG48" s="7"/>
      <c r="AH48" s="7"/>
      <c r="AI48" s="7"/>
      <c r="AJ48" s="7"/>
      <c r="AK48" s="7"/>
      <c r="AL48" s="4"/>
    </row>
    <row r="49" spans="1:38" hidden="1" outlineLevel="1">
      <c r="A49" s="4"/>
      <c r="B49" s="4"/>
      <c r="C49" s="7"/>
      <c r="D49" s="113">
        <v>4</v>
      </c>
      <c r="E49" s="113" t="s">
        <v>1872</v>
      </c>
      <c r="F49" s="113">
        <f>_xlfn.MAXIFS(Table648666[MTD],Table648666[Recovery Order (1)],4)</f>
        <v>0</v>
      </c>
      <c r="G49" s="113">
        <f>_xlfn.MINIFS(Table648666[MTD],Table648666[Recovery Order (1)],4)</f>
        <v>0</v>
      </c>
      <c r="H49" s="113">
        <f>_xlfn.MAXIFS(Table648666[Availability RTA (Hours)],Table648666[Recovery Order (1)],4)</f>
        <v>0</v>
      </c>
      <c r="I49" s="113">
        <f>_xlfn.MINIFS(Table648666[Availability RTA (Hours)],Table648666[Recovery Order (1)],4)</f>
        <v>0</v>
      </c>
      <c r="J49" s="113">
        <f>_xlfn.MAXIFS(Table648666[Recovery RTA (Hours)],Table648666[Recovery Order (1)],4)</f>
        <v>0</v>
      </c>
      <c r="K49" s="113">
        <f>_xlfn.MINIFS(Table648666[Recovery RTA (Hours)],Table648666[Recovery Order (1)],4)</f>
        <v>0</v>
      </c>
      <c r="L49" s="159"/>
      <c r="M49" s="159"/>
      <c r="N49" s="159"/>
      <c r="O49" s="159"/>
      <c r="P49" s="159"/>
      <c r="Q49" s="159"/>
      <c r="R49" s="159"/>
      <c r="S49" s="159"/>
      <c r="T49" s="159"/>
      <c r="U49" s="7"/>
      <c r="V49" s="7"/>
      <c r="W49" s="7"/>
      <c r="X49" s="7"/>
      <c r="Y49" s="7"/>
      <c r="Z49" s="7"/>
      <c r="AA49" s="7"/>
      <c r="AB49" s="7"/>
      <c r="AC49" s="7"/>
      <c r="AD49" s="7"/>
      <c r="AE49" s="7"/>
      <c r="AF49" s="7"/>
      <c r="AG49" s="7"/>
      <c r="AH49" s="7"/>
      <c r="AI49" s="7"/>
      <c r="AJ49" s="7"/>
      <c r="AK49" s="7"/>
      <c r="AL49" s="4"/>
    </row>
    <row r="50" spans="1:38" hidden="1" outlineLevel="1">
      <c r="A50" s="4"/>
      <c r="B50" s="4"/>
      <c r="C50" s="7"/>
      <c r="D50" s="113">
        <v>5</v>
      </c>
      <c r="E50" s="113" t="s">
        <v>1872</v>
      </c>
      <c r="F50" s="113">
        <f>_xlfn.MAXIFS(Table648666[MTD],Table648666[Recovery Order (1)],5)</f>
        <v>0</v>
      </c>
      <c r="G50" s="113">
        <f>_xlfn.MINIFS(Table648666[MTD],Table648666[Recovery Order (1)],5)</f>
        <v>0</v>
      </c>
      <c r="H50" s="113">
        <f>_xlfn.MAXIFS(Table648666[Availability RTA (Hours)],Table648666[Recovery Order (1)],5)</f>
        <v>0</v>
      </c>
      <c r="I50" s="113">
        <f>_xlfn.MINIFS(Table648666[Availability RTA (Hours)],Table648666[Recovery Order (1)],5)</f>
        <v>0</v>
      </c>
      <c r="J50" s="113">
        <f>_xlfn.MAXIFS(Table648666[Recovery RTA (Hours)],Table648666[Recovery Order (1)],5)</f>
        <v>0</v>
      </c>
      <c r="K50" s="113">
        <f>_xlfn.MINIFS(Table648666[Recovery RTA (Hours)],Table648666[Recovery Order (1)],5)</f>
        <v>0</v>
      </c>
      <c r="L50" s="159"/>
      <c r="M50" s="159"/>
      <c r="N50" s="159"/>
      <c r="O50" s="159"/>
      <c r="P50" s="159"/>
      <c r="Q50" s="159"/>
      <c r="R50" s="159"/>
      <c r="S50" s="159"/>
      <c r="T50" s="159"/>
      <c r="U50" s="7"/>
      <c r="V50" s="7"/>
      <c r="W50" s="7"/>
      <c r="X50" s="7"/>
      <c r="Y50" s="7"/>
      <c r="Z50" s="7"/>
      <c r="AA50" s="7"/>
      <c r="AB50" s="7"/>
      <c r="AC50" s="7"/>
      <c r="AD50" s="7"/>
      <c r="AE50" s="7"/>
      <c r="AF50" s="7"/>
      <c r="AG50" s="7"/>
      <c r="AH50" s="7"/>
      <c r="AI50" s="7"/>
      <c r="AJ50" s="7"/>
      <c r="AK50" s="7"/>
      <c r="AL50" s="4"/>
    </row>
    <row r="51" spans="1:38" hidden="1" outlineLevel="1">
      <c r="A51" s="4"/>
      <c r="B51" s="4"/>
      <c r="C51" s="7"/>
      <c r="D51" s="113">
        <v>6</v>
      </c>
      <c r="E51" s="113" t="s">
        <v>1872</v>
      </c>
      <c r="F51" s="113">
        <f>_xlfn.MAXIFS(Table648666[MTD],Table648666[Recovery Order (1)],6)</f>
        <v>0</v>
      </c>
      <c r="G51" s="113">
        <f>_xlfn.MINIFS(Table648666[MTD],Table648666[Recovery Order (1)],6)</f>
        <v>0</v>
      </c>
      <c r="H51" s="113">
        <f>_xlfn.MAXIFS(Table648666[Availability RTA (Hours)],Table648666[Recovery Order (1)],6)</f>
        <v>0</v>
      </c>
      <c r="I51" s="113">
        <f>_xlfn.MINIFS(Table648666[Availability RTA (Hours)],Table648666[Recovery Order (1)],6)</f>
        <v>0</v>
      </c>
      <c r="J51" s="113">
        <f>_xlfn.MAXIFS(Table648666[Recovery RTA (Hours)],Table648666[Recovery Order (1)],6)</f>
        <v>0</v>
      </c>
      <c r="K51" s="113">
        <f>_xlfn.MINIFS(Table648666[Recovery RTA (Hours)],Table648666[Recovery Order (1)],6)</f>
        <v>0</v>
      </c>
      <c r="L51" s="159"/>
      <c r="M51" s="159"/>
      <c r="N51" s="159"/>
      <c r="O51" s="159"/>
      <c r="P51" s="159"/>
      <c r="Q51" s="159"/>
      <c r="R51" s="159"/>
      <c r="S51" s="159"/>
      <c r="T51" s="159"/>
      <c r="U51" s="7"/>
      <c r="V51" s="7"/>
      <c r="W51" s="7"/>
      <c r="X51" s="7"/>
      <c r="Y51" s="7"/>
      <c r="Z51" s="7"/>
      <c r="AA51" s="7"/>
      <c r="AB51" s="7"/>
      <c r="AC51" s="7"/>
      <c r="AD51" s="7"/>
      <c r="AE51" s="7"/>
      <c r="AF51" s="7"/>
      <c r="AG51" s="7"/>
      <c r="AH51" s="7"/>
      <c r="AI51" s="7"/>
      <c r="AJ51" s="7"/>
      <c r="AK51" s="7"/>
      <c r="AL51" s="4"/>
    </row>
    <row r="52" spans="1:38" hidden="1" outlineLevel="1">
      <c r="A52" s="4"/>
      <c r="B52" s="4"/>
      <c r="C52" s="7"/>
      <c r="D52" s="113">
        <v>7</v>
      </c>
      <c r="E52" s="113" t="s">
        <v>922</v>
      </c>
      <c r="F52" s="113">
        <f>_xlfn.MAXIFS(Table648666[MTD],Table648666[Recovery Order (1)],7)</f>
        <v>0</v>
      </c>
      <c r="G52" s="113">
        <f>_xlfn.MINIFS(Table648666[MTD],Table648666[Recovery Order (1)],7)</f>
        <v>0</v>
      </c>
      <c r="H52" s="113">
        <f>_xlfn.MAXIFS(Table648666[Availability RTA (Hours)],Table648666[Recovery Order (1)],7)</f>
        <v>0</v>
      </c>
      <c r="I52" s="113">
        <f>_xlfn.MINIFS(Table648666[Availability RTA (Hours)],Table648666[Recovery Order (1)],7)</f>
        <v>0</v>
      </c>
      <c r="J52" s="113">
        <f>_xlfn.MAXIFS(Table648666[Recovery RTA (Hours)],Table648666[Recovery Order (1)],7)</f>
        <v>0</v>
      </c>
      <c r="K52" s="113">
        <f>_xlfn.MINIFS(Table648666[Recovery RTA (Hours)],Table648666[Recovery Order (1)],7)</f>
        <v>0</v>
      </c>
      <c r="L52" s="159"/>
      <c r="M52" s="159"/>
      <c r="N52" s="159"/>
      <c r="O52" s="159"/>
      <c r="P52" s="159"/>
      <c r="Q52" s="159"/>
      <c r="R52" s="159"/>
      <c r="S52" s="159"/>
      <c r="T52" s="159"/>
      <c r="U52" s="7"/>
      <c r="V52" s="7"/>
      <c r="W52" s="7"/>
      <c r="X52" s="7"/>
      <c r="Y52" s="7"/>
      <c r="Z52" s="7"/>
      <c r="AA52" s="7"/>
      <c r="AB52" s="7"/>
      <c r="AC52" s="7"/>
      <c r="AD52" s="7"/>
      <c r="AE52" s="7"/>
      <c r="AF52" s="7"/>
      <c r="AG52" s="7"/>
      <c r="AH52" s="7"/>
      <c r="AI52" s="7"/>
      <c r="AJ52" s="7"/>
      <c r="AK52" s="7"/>
      <c r="AL52" s="4"/>
    </row>
    <row r="53" spans="1:38" hidden="1" outlineLevel="1">
      <c r="A53" s="4"/>
      <c r="B53" s="4"/>
      <c r="C53" s="7"/>
      <c r="D53" s="113">
        <v>8</v>
      </c>
      <c r="E53" s="113" t="s">
        <v>922</v>
      </c>
      <c r="F53" s="113">
        <f>_xlfn.MAXIFS(Table648666[MTD],Table648666[Recovery Order (1)],8)</f>
        <v>0</v>
      </c>
      <c r="G53" s="113">
        <f>_xlfn.MINIFS(Table648666[MTD],Table648666[Recovery Order (1)],8)</f>
        <v>0</v>
      </c>
      <c r="H53" s="113">
        <f>_xlfn.MAXIFS(Table648666[Availability RTA (Hours)],Table648666[Recovery Order (1)],8)</f>
        <v>0</v>
      </c>
      <c r="I53" s="113">
        <f>_xlfn.MINIFS(Table648666[Availability RTA (Hours)],Table648666[Recovery Order (1)],8)</f>
        <v>0</v>
      </c>
      <c r="J53" s="113">
        <f>_xlfn.MAXIFS(Table648666[Recovery RTA (Hours)],Table648666[Recovery Order (1)],8)</f>
        <v>0</v>
      </c>
      <c r="K53" s="113">
        <f>_xlfn.MINIFS(Table648666[Recovery RTA (Hours)],Table648666[Recovery Order (1)],8)</f>
        <v>0</v>
      </c>
      <c r="L53" s="159"/>
      <c r="M53" s="159"/>
      <c r="N53" s="159"/>
      <c r="O53" s="159"/>
      <c r="P53" s="159"/>
      <c r="Q53" s="159"/>
      <c r="R53" s="159"/>
      <c r="S53" s="159"/>
      <c r="T53" s="159"/>
      <c r="U53" s="7"/>
      <c r="V53" s="7"/>
      <c r="W53" s="7"/>
      <c r="X53" s="7"/>
      <c r="Y53" s="7"/>
      <c r="Z53" s="7"/>
      <c r="AA53" s="7"/>
      <c r="AB53" s="7"/>
      <c r="AC53" s="7"/>
      <c r="AD53" s="7"/>
      <c r="AE53" s="7"/>
      <c r="AF53" s="7"/>
      <c r="AG53" s="7"/>
      <c r="AH53" s="7"/>
      <c r="AI53" s="7"/>
      <c r="AJ53" s="7"/>
      <c r="AK53" s="7"/>
      <c r="AL53" s="4"/>
    </row>
    <row r="54" spans="1:38" hidden="1" outlineLevel="1">
      <c r="A54" s="4"/>
      <c r="B54" s="4"/>
      <c r="C54" s="7"/>
      <c r="D54" s="113">
        <v>9</v>
      </c>
      <c r="E54" s="113" t="s">
        <v>922</v>
      </c>
      <c r="F54" s="113">
        <f>_xlfn.MAXIFS(Table648666[MTD],Table648666[Recovery Order (1)],9)</f>
        <v>0</v>
      </c>
      <c r="G54" s="113">
        <f>_xlfn.MINIFS(Table648666[MTD],Table648666[Recovery Order (1)],9)</f>
        <v>0</v>
      </c>
      <c r="H54" s="113">
        <f>_xlfn.MAXIFS(Table648666[Availability RTA (Hours)],Table648666[Recovery Order (1)],9)</f>
        <v>0</v>
      </c>
      <c r="I54" s="113">
        <f>_xlfn.MINIFS(Table648666[Availability RTA (Hours)],Table648666[Recovery Order (1)],9)</f>
        <v>0</v>
      </c>
      <c r="J54" s="113">
        <f>_xlfn.MAXIFS(Table648666[Recovery RTA (Hours)],Table648666[Recovery Order (1)],9)</f>
        <v>0</v>
      </c>
      <c r="K54" s="113">
        <f>_xlfn.MINIFS(Table648666[Recovery RTA (Hours)],Table648666[Recovery Order (1)],9)</f>
        <v>0</v>
      </c>
      <c r="L54" s="159"/>
      <c r="M54" s="159"/>
      <c r="N54" s="159"/>
      <c r="O54" s="159"/>
      <c r="P54" s="159"/>
      <c r="Q54" s="159"/>
      <c r="R54" s="159"/>
      <c r="S54" s="159"/>
      <c r="T54" s="159"/>
      <c r="U54" s="7"/>
      <c r="V54" s="7"/>
      <c r="W54" s="7"/>
      <c r="X54" s="7"/>
      <c r="Y54" s="7"/>
      <c r="Z54" s="7"/>
      <c r="AA54" s="7"/>
      <c r="AB54" s="7"/>
      <c r="AC54" s="7"/>
      <c r="AD54" s="7"/>
      <c r="AE54" s="7"/>
      <c r="AF54" s="7"/>
      <c r="AG54" s="7"/>
      <c r="AH54" s="7"/>
      <c r="AI54" s="7"/>
      <c r="AJ54" s="7"/>
      <c r="AK54" s="7"/>
      <c r="AL54" s="4"/>
    </row>
    <row r="55" spans="1:38" hidden="1" outlineLevel="1">
      <c r="A55" s="4"/>
      <c r="B55" s="4"/>
      <c r="C55" s="7"/>
      <c r="D55" s="113">
        <v>10</v>
      </c>
      <c r="E55" s="113" t="s">
        <v>922</v>
      </c>
      <c r="F55" s="113">
        <f>_xlfn.MAXIFS(Table648666[MTD],Table648666[Recovery Order (1)],10)</f>
        <v>0</v>
      </c>
      <c r="G55" s="113">
        <f>_xlfn.MINIFS(Table648666[MTD],Table648666[Recovery Order (1)],10)</f>
        <v>0</v>
      </c>
      <c r="H55" s="113">
        <f>_xlfn.MAXIFS(Table648666[Availability RTA (Hours)],Table648666[Recovery Order (1)],10)</f>
        <v>0</v>
      </c>
      <c r="I55" s="113">
        <f>_xlfn.MINIFS(Table648666[Availability RTA (Hours)],Table648666[Recovery Order (1)],10)</f>
        <v>0</v>
      </c>
      <c r="J55" s="113">
        <f>_xlfn.MAXIFS(Table648666[Recovery RTA (Hours)],Table648666[Recovery Order (1)],10)</f>
        <v>0</v>
      </c>
      <c r="K55" s="113">
        <f>_xlfn.MINIFS(Table648666[Recovery RTA (Hours)],Table648666[Recovery Order (1)],10)</f>
        <v>0</v>
      </c>
      <c r="L55" s="159"/>
      <c r="M55" s="159"/>
      <c r="N55" s="159"/>
      <c r="O55" s="159"/>
      <c r="P55" s="159"/>
      <c r="Q55" s="159"/>
      <c r="R55" s="159"/>
      <c r="S55" s="159"/>
      <c r="T55" s="159"/>
      <c r="U55" s="7"/>
      <c r="V55" s="7"/>
      <c r="W55" s="7"/>
      <c r="X55" s="7"/>
      <c r="Y55" s="7"/>
      <c r="Z55" s="7"/>
      <c r="AA55" s="7"/>
      <c r="AB55" s="7"/>
      <c r="AC55" s="7"/>
      <c r="AD55" s="7"/>
      <c r="AE55" s="7"/>
      <c r="AF55" s="7"/>
      <c r="AG55" s="7"/>
      <c r="AH55" s="7"/>
      <c r="AI55" s="7"/>
      <c r="AJ55" s="7"/>
      <c r="AK55" s="7"/>
      <c r="AL55" s="4"/>
    </row>
    <row r="56" spans="1:38" hidden="1" outlineLevel="1">
      <c r="A56" s="4"/>
      <c r="B56" s="4"/>
      <c r="C56" s="7"/>
      <c r="D56" s="113" t="s">
        <v>1335</v>
      </c>
      <c r="E56" s="113"/>
      <c r="F56" s="113">
        <f t="shared" ref="F56:K56" si="0">SUM(F46:F55)</f>
        <v>40</v>
      </c>
      <c r="G56" s="113">
        <f t="shared" si="0"/>
        <v>24</v>
      </c>
      <c r="H56" s="113">
        <f t="shared" si="0"/>
        <v>2</v>
      </c>
      <c r="I56" s="113">
        <f t="shared" si="0"/>
        <v>1</v>
      </c>
      <c r="J56" s="113">
        <f t="shared" si="0"/>
        <v>6</v>
      </c>
      <c r="K56" s="113">
        <f t="shared" si="0"/>
        <v>4</v>
      </c>
      <c r="L56" s="7"/>
      <c r="M56" s="7"/>
      <c r="N56" s="7"/>
      <c r="O56" s="7"/>
      <c r="P56" s="7"/>
      <c r="Q56" s="7"/>
      <c r="R56" s="7"/>
      <c r="S56" s="7"/>
      <c r="T56" s="7"/>
      <c r="U56" s="7"/>
      <c r="V56" s="7"/>
      <c r="W56" s="7"/>
      <c r="X56" s="7"/>
      <c r="Y56" s="7"/>
      <c r="Z56" s="7"/>
      <c r="AA56" s="7"/>
      <c r="AB56" s="7"/>
      <c r="AC56" s="7"/>
      <c r="AD56" s="7"/>
      <c r="AE56" s="7"/>
      <c r="AF56" s="7"/>
      <c r="AG56" s="7"/>
      <c r="AH56" s="7"/>
      <c r="AI56" s="7"/>
      <c r="AJ56" s="7"/>
      <c r="AK56" s="7"/>
      <c r="AL56" s="4"/>
    </row>
    <row r="57" spans="1:38" hidden="1" outlineLevel="1">
      <c r="A57" s="4"/>
      <c r="B57" s="4"/>
      <c r="C57" s="7"/>
      <c r="D57" s="86"/>
      <c r="E57" s="86"/>
      <c r="F57" s="86"/>
      <c r="G57" s="86"/>
      <c r="H57" s="86"/>
      <c r="I57" s="86"/>
      <c r="J57" s="86"/>
      <c r="K57" s="86"/>
      <c r="L57" s="7"/>
      <c r="M57" s="7"/>
      <c r="N57" s="7"/>
      <c r="O57" s="7"/>
      <c r="P57" s="7"/>
      <c r="Q57" s="7"/>
      <c r="R57" s="7"/>
      <c r="S57" s="7"/>
      <c r="T57" s="7"/>
      <c r="U57" s="7"/>
      <c r="V57" s="7"/>
      <c r="W57" s="7"/>
      <c r="X57" s="7"/>
      <c r="Y57" s="7"/>
      <c r="Z57" s="7"/>
      <c r="AA57" s="7"/>
      <c r="AB57" s="7"/>
      <c r="AC57" s="7"/>
      <c r="AD57" s="7"/>
      <c r="AE57" s="7"/>
      <c r="AF57" s="7"/>
      <c r="AG57" s="7"/>
      <c r="AH57" s="7"/>
      <c r="AI57" s="7"/>
      <c r="AJ57" s="7"/>
      <c r="AK57" s="7"/>
      <c r="AL57" s="4"/>
    </row>
    <row r="58" spans="1:38" s="123" customFormat="1" ht="129.6" hidden="1" outlineLevel="1">
      <c r="A58" s="102"/>
      <c r="B58" s="102"/>
      <c r="C58" s="131"/>
      <c r="D58" s="376" t="s">
        <v>1885</v>
      </c>
      <c r="E58" s="556">
        <f>SUM(Table85[Availability RTA (MIN)])</f>
        <v>1</v>
      </c>
      <c r="F58" s="555" t="s">
        <v>1886</v>
      </c>
      <c r="G58" s="370"/>
      <c r="H58" s="370"/>
      <c r="I58" s="370"/>
      <c r="J58" s="370"/>
      <c r="K58" s="370"/>
      <c r="L58" s="131"/>
      <c r="M58" s="131"/>
      <c r="N58" s="131"/>
      <c r="O58" s="131"/>
      <c r="P58" s="131"/>
      <c r="Q58" s="131"/>
      <c r="R58" s="131"/>
      <c r="S58" s="131"/>
      <c r="T58" s="131"/>
      <c r="U58" s="131"/>
      <c r="V58" s="131"/>
      <c r="W58" s="131"/>
      <c r="X58" s="131"/>
      <c r="Y58" s="131"/>
      <c r="Z58" s="131"/>
      <c r="AA58" s="131"/>
      <c r="AB58" s="131"/>
      <c r="AC58" s="131"/>
      <c r="AD58" s="131"/>
      <c r="AE58" s="131"/>
      <c r="AF58" s="131"/>
      <c r="AG58" s="131"/>
      <c r="AH58" s="131"/>
      <c r="AI58" s="131"/>
      <c r="AJ58" s="131"/>
      <c r="AK58" s="131"/>
      <c r="AL58" s="102"/>
    </row>
    <row r="59" spans="1:38" s="123" customFormat="1" ht="18.600000000000001" hidden="1" outlineLevel="1">
      <c r="A59" s="102"/>
      <c r="B59" s="102"/>
      <c r="C59" s="131"/>
      <c r="D59" s="371"/>
      <c r="E59" s="375"/>
      <c r="F59" s="370"/>
      <c r="G59" s="370"/>
      <c r="H59" s="370"/>
      <c r="I59" s="370"/>
      <c r="J59" s="370"/>
      <c r="K59" s="370"/>
      <c r="L59" s="131"/>
      <c r="M59" s="131"/>
      <c r="N59" s="131"/>
      <c r="O59" s="131"/>
      <c r="P59" s="131"/>
      <c r="Q59" s="131"/>
      <c r="R59" s="131"/>
      <c r="S59" s="131"/>
      <c r="T59" s="131"/>
      <c r="U59" s="131"/>
      <c r="V59" s="131"/>
      <c r="W59" s="131"/>
      <c r="X59" s="131"/>
      <c r="Y59" s="131"/>
      <c r="Z59" s="131"/>
      <c r="AA59" s="131"/>
      <c r="AB59" s="131"/>
      <c r="AC59" s="131"/>
      <c r="AD59" s="131"/>
      <c r="AE59" s="131"/>
      <c r="AF59" s="131"/>
      <c r="AG59" s="131"/>
      <c r="AH59" s="131"/>
      <c r="AI59" s="131"/>
      <c r="AJ59" s="131"/>
      <c r="AK59" s="131"/>
      <c r="AL59" s="102"/>
    </row>
    <row r="60" spans="1:38" s="123" customFormat="1" ht="129.6" hidden="1" outlineLevel="1">
      <c r="A60" s="102"/>
      <c r="B60" s="102"/>
      <c r="C60" s="131"/>
      <c r="D60" s="377" t="s">
        <v>1887</v>
      </c>
      <c r="E60" s="557">
        <f>SUM(Table85[Recoverability RTA (MIN)])</f>
        <v>4</v>
      </c>
      <c r="F60" s="555" t="s">
        <v>1886</v>
      </c>
      <c r="G60" s="370"/>
      <c r="H60" s="370"/>
      <c r="I60" s="370"/>
      <c r="J60" s="370"/>
      <c r="K60" s="370"/>
      <c r="L60" s="131"/>
      <c r="M60" s="131"/>
      <c r="N60" s="131"/>
      <c r="O60" s="131"/>
      <c r="P60" s="131"/>
      <c r="Q60" s="131"/>
      <c r="R60" s="131"/>
      <c r="S60" s="131"/>
      <c r="T60" s="131"/>
      <c r="U60" s="131"/>
      <c r="V60" s="131"/>
      <c r="W60" s="131"/>
      <c r="X60" s="131"/>
      <c r="Y60" s="131"/>
      <c r="Z60" s="131"/>
      <c r="AA60" s="131"/>
      <c r="AB60" s="131"/>
      <c r="AC60" s="131"/>
      <c r="AD60" s="131"/>
      <c r="AE60" s="131"/>
      <c r="AF60" s="131"/>
      <c r="AG60" s="131"/>
      <c r="AH60" s="131"/>
      <c r="AI60" s="131"/>
      <c r="AJ60" s="131"/>
      <c r="AK60" s="131"/>
      <c r="AL60" s="102"/>
    </row>
    <row r="61" spans="1:38" hidden="1" outlineLevel="1">
      <c r="A61" s="4"/>
      <c r="B61" s="4"/>
      <c r="C61" s="7"/>
      <c r="D61" s="7"/>
      <c r="E61" s="7"/>
      <c r="F61" s="7"/>
      <c r="G61" s="7"/>
      <c r="H61" s="7"/>
      <c r="I61" s="7"/>
      <c r="J61" s="7"/>
      <c r="K61" s="7"/>
      <c r="L61" s="7"/>
      <c r="M61" s="7"/>
      <c r="N61" s="7"/>
      <c r="O61" s="7"/>
      <c r="P61" s="7"/>
      <c r="Q61" s="7"/>
      <c r="R61" s="7"/>
      <c r="S61" s="7"/>
      <c r="T61" s="7"/>
      <c r="U61" s="7"/>
      <c r="V61" s="7"/>
      <c r="W61" s="7"/>
      <c r="X61" s="7"/>
      <c r="Y61" s="7"/>
      <c r="Z61" s="7"/>
      <c r="AA61" s="7"/>
      <c r="AB61" s="7"/>
      <c r="AC61" s="7"/>
      <c r="AD61" s="7"/>
      <c r="AE61" s="7"/>
      <c r="AF61" s="7"/>
      <c r="AG61" s="7"/>
      <c r="AH61" s="7"/>
      <c r="AI61" s="7"/>
      <c r="AJ61" s="7"/>
      <c r="AK61" s="7"/>
      <c r="AL61" s="4"/>
    </row>
    <row r="62" spans="1:38" collapsed="1">
      <c r="A62" s="4"/>
      <c r="B62" s="4"/>
      <c r="C62" s="4"/>
      <c r="D62" s="4"/>
      <c r="E62" s="4"/>
      <c r="F62" s="4"/>
      <c r="G62" s="4"/>
      <c r="H62" s="4"/>
      <c r="I62" s="4"/>
      <c r="J62" s="4"/>
      <c r="K62" s="4"/>
      <c r="L62" s="4"/>
      <c r="M62" s="4"/>
      <c r="N62" s="4"/>
      <c r="O62" s="4"/>
      <c r="P62" s="4"/>
      <c r="Q62" s="4"/>
      <c r="R62" s="4"/>
      <c r="S62" s="4"/>
      <c r="T62" s="4"/>
      <c r="U62" s="4"/>
      <c r="V62" s="4"/>
      <c r="W62" s="4"/>
      <c r="X62" s="4"/>
      <c r="Y62" s="4"/>
      <c r="Z62" s="4"/>
      <c r="AA62" s="4"/>
      <c r="AB62" s="4"/>
      <c r="AC62" s="4"/>
      <c r="AD62" s="4"/>
      <c r="AE62" s="4"/>
      <c r="AF62" s="4"/>
      <c r="AG62" s="4"/>
      <c r="AH62" s="4"/>
      <c r="AI62" s="4"/>
      <c r="AJ62" s="4"/>
      <c r="AK62" s="4"/>
      <c r="AL62" s="4"/>
    </row>
    <row r="63" spans="1:38" ht="18.600000000000001">
      <c r="A63" s="4"/>
      <c r="B63" s="4"/>
      <c r="C63" s="102" t="s">
        <v>78</v>
      </c>
      <c r="D63" s="102"/>
      <c r="E63" s="102"/>
      <c r="F63" s="102"/>
      <c r="G63" s="102"/>
      <c r="H63" s="102"/>
      <c r="I63" s="102"/>
      <c r="J63" s="102"/>
      <c r="K63" s="102"/>
      <c r="L63" s="102"/>
      <c r="M63" s="102"/>
      <c r="N63" s="102"/>
      <c r="O63" s="102"/>
      <c r="P63" s="102"/>
      <c r="Q63" s="102"/>
      <c r="R63" s="102"/>
      <c r="S63" s="102"/>
      <c r="T63" s="102"/>
      <c r="U63" s="102"/>
      <c r="V63" s="102"/>
      <c r="W63" s="102"/>
      <c r="X63" s="102"/>
      <c r="Y63" s="102"/>
      <c r="Z63" s="102"/>
      <c r="AA63" s="102"/>
      <c r="AB63" s="102"/>
      <c r="AC63" s="102"/>
      <c r="AD63" s="4"/>
      <c r="AE63" s="4"/>
      <c r="AF63" s="4"/>
      <c r="AG63" s="4"/>
      <c r="AH63" s="4"/>
      <c r="AI63" s="4"/>
      <c r="AJ63" s="4"/>
      <c r="AK63" s="4"/>
      <c r="AL63" s="4"/>
    </row>
    <row r="64" spans="1:38" outlineLevel="1">
      <c r="A64" s="4"/>
      <c r="B64" s="4"/>
      <c r="C64" s="4"/>
      <c r="D64" s="4"/>
      <c r="E64" s="4"/>
      <c r="F64" s="4"/>
      <c r="G64" s="4"/>
      <c r="H64" s="4"/>
      <c r="I64" s="4"/>
      <c r="J64" s="4"/>
      <c r="K64" s="4"/>
      <c r="L64" s="4"/>
      <c r="M64" s="4"/>
      <c r="N64" s="4"/>
      <c r="O64" s="4"/>
      <c r="P64" s="4"/>
      <c r="Q64" s="4"/>
      <c r="R64" s="4"/>
      <c r="S64" s="4"/>
      <c r="T64" s="4"/>
      <c r="U64" s="4"/>
      <c r="V64" s="4"/>
      <c r="W64" s="4"/>
      <c r="X64" s="4"/>
      <c r="Y64" s="4"/>
      <c r="Z64" s="4"/>
      <c r="AA64" s="4"/>
      <c r="AB64" s="4"/>
      <c r="AC64" s="4"/>
      <c r="AD64" s="4"/>
      <c r="AE64" s="4"/>
      <c r="AF64" s="4"/>
      <c r="AG64" s="4"/>
      <c r="AH64" s="4"/>
      <c r="AI64" s="4"/>
      <c r="AJ64" s="4"/>
      <c r="AK64" s="4"/>
      <c r="AL64" s="4"/>
    </row>
    <row r="65" spans="1:38" ht="16.5" outlineLevel="1">
      <c r="A65" s="4"/>
      <c r="B65" s="4"/>
      <c r="C65" s="169">
        <v>1</v>
      </c>
      <c r="D65" s="7" t="s">
        <v>1888</v>
      </c>
      <c r="E65" s="7"/>
      <c r="F65" s="7"/>
      <c r="G65" s="7"/>
      <c r="H65" s="7"/>
      <c r="I65" s="7"/>
      <c r="J65" s="7"/>
      <c r="K65" s="7"/>
      <c r="L65" s="7"/>
      <c r="M65" s="7"/>
      <c r="N65" s="7"/>
      <c r="O65" s="7"/>
      <c r="P65" s="7"/>
      <c r="Q65" s="7"/>
      <c r="R65" s="7"/>
      <c r="S65" s="7"/>
      <c r="T65" s="7"/>
      <c r="U65" s="7"/>
      <c r="V65" s="7"/>
      <c r="W65" s="7"/>
      <c r="X65" s="7"/>
      <c r="Y65" s="7"/>
      <c r="Z65" s="7"/>
      <c r="AA65" s="7"/>
      <c r="AB65" s="7"/>
      <c r="AC65" s="7"/>
      <c r="AD65" s="7"/>
      <c r="AE65" s="7"/>
      <c r="AF65" s="7"/>
      <c r="AG65" s="7"/>
      <c r="AH65" s="7"/>
      <c r="AI65" s="7"/>
      <c r="AJ65" s="7"/>
      <c r="AK65" s="7"/>
      <c r="AL65" s="4"/>
    </row>
    <row r="66" spans="1:38" ht="16.5" outlineLevel="1">
      <c r="A66" s="4"/>
      <c r="B66" s="4"/>
      <c r="C66" s="169">
        <v>2</v>
      </c>
      <c r="D66" s="7" t="s">
        <v>1889</v>
      </c>
      <c r="E66" s="7"/>
      <c r="F66" s="7"/>
      <c r="G66" s="7"/>
      <c r="H66" s="7"/>
      <c r="I66" s="7"/>
      <c r="J66" s="7"/>
      <c r="K66" s="7"/>
      <c r="L66" s="7"/>
      <c r="M66" s="7"/>
      <c r="N66" s="7"/>
      <c r="O66" s="7"/>
      <c r="P66" s="7"/>
      <c r="Q66" s="7"/>
      <c r="R66" s="7"/>
      <c r="S66" s="7"/>
      <c r="T66" s="7"/>
      <c r="U66" s="7"/>
      <c r="V66" s="7"/>
      <c r="W66" s="7"/>
      <c r="X66" s="7"/>
      <c r="Y66" s="7"/>
      <c r="Z66" s="7"/>
      <c r="AA66" s="7"/>
      <c r="AB66" s="7"/>
      <c r="AC66" s="7"/>
      <c r="AD66" s="7"/>
      <c r="AE66" s="7"/>
      <c r="AF66" s="7"/>
      <c r="AG66" s="7"/>
      <c r="AH66" s="7"/>
      <c r="AI66" s="7"/>
      <c r="AJ66" s="7"/>
      <c r="AK66" s="7"/>
      <c r="AL66" s="4"/>
    </row>
    <row r="67" spans="1:38">
      <c r="A67" s="4"/>
      <c r="B67" s="4"/>
      <c r="C67" s="4"/>
      <c r="D67" s="4"/>
      <c r="E67" s="4"/>
      <c r="F67" s="4"/>
      <c r="G67" s="4"/>
      <c r="H67" s="4"/>
      <c r="I67" s="4"/>
      <c r="J67" s="4"/>
      <c r="K67" s="4"/>
      <c r="L67" s="4"/>
      <c r="M67" s="4"/>
      <c r="N67" s="4"/>
      <c r="O67" s="4"/>
      <c r="P67" s="4"/>
      <c r="Q67" s="4"/>
      <c r="R67" s="4"/>
      <c r="S67" s="4"/>
      <c r="T67" s="4"/>
      <c r="U67" s="4"/>
      <c r="V67" s="4"/>
      <c r="W67" s="4"/>
      <c r="X67" s="4"/>
      <c r="Y67" s="4"/>
      <c r="Z67" s="4"/>
      <c r="AA67" s="4"/>
      <c r="AB67" s="4"/>
      <c r="AC67" s="4"/>
      <c r="AD67" s="4"/>
      <c r="AE67" s="4"/>
      <c r="AF67" s="4"/>
      <c r="AG67" s="4"/>
      <c r="AH67" s="4"/>
      <c r="AI67" s="4"/>
      <c r="AJ67" s="4"/>
      <c r="AK67" s="4"/>
      <c r="AL67" s="4"/>
    </row>
  </sheetData>
  <mergeCells count="4">
    <mergeCell ref="C2:AK2"/>
    <mergeCell ref="C3:AK3"/>
    <mergeCell ref="W25:X25"/>
    <mergeCell ref="Y25:Z25"/>
  </mergeCells>
  <phoneticPr fontId="1" type="noConversion"/>
  <conditionalFormatting sqref="R27:T39">
    <cfRule type="iconSet" priority="5">
      <iconSet showValue="0" reverse="1">
        <cfvo type="percent" val="0"/>
        <cfvo type="num" val="1"/>
        <cfvo type="num" val="2"/>
      </iconSet>
    </cfRule>
  </conditionalFormatting>
  <conditionalFormatting sqref="AA38 AC38">
    <cfRule type="iconSet" priority="3">
      <iconSet showValue="0" reverse="1">
        <cfvo type="percent" val="0"/>
        <cfvo type="num" val="1"/>
        <cfvo type="num" val="2"/>
      </iconSet>
    </cfRule>
  </conditionalFormatting>
  <conditionalFormatting sqref="AA39 AC39">
    <cfRule type="iconSet" priority="2">
      <iconSet showValue="0" reverse="1">
        <cfvo type="percent" val="0"/>
        <cfvo type="num" val="1"/>
        <cfvo type="num" val="2"/>
      </iconSet>
    </cfRule>
  </conditionalFormatting>
  <conditionalFormatting sqref="AA27:AC27 AA28:AA37 AC28:AC37 AB28:AB39">
    <cfRule type="iconSet" priority="4">
      <iconSet showValue="0" reverse="1">
        <cfvo type="percent" val="0"/>
        <cfvo type="num" val="1"/>
        <cfvo type="num" val="2"/>
      </iconSet>
    </cfRule>
  </conditionalFormatting>
  <conditionalFormatting sqref="AJ27:AJ39">
    <cfRule type="iconSet" priority="1">
      <iconSet showValue="0" reverse="1">
        <cfvo type="percent" val="0"/>
        <cfvo type="num" val="1"/>
        <cfvo type="num" val="2"/>
      </iconSet>
    </cfRule>
  </conditionalFormatting>
  <hyperlinks>
    <hyperlink ref="AC33" location="'4 App Outage Communication'!A1" display="App Outage Communication" xr:uid="{70ECA54D-60D2-4D5F-877D-0889FE68BC30}"/>
    <hyperlink ref="AC34" location="'4 App Outage Communication'!A1" display="App Outage Communication" xr:uid="{4B50FA43-4B20-485F-A28C-DAF182F22536}"/>
    <hyperlink ref="AB33" location="'4 Test Summary'!A1" display="'4 Test Summary'!A1" xr:uid="{4FFAA943-DF2E-4347-B106-6ABC5806B026}"/>
    <hyperlink ref="AB34" location="'4 Test Summary'!A1" display="'4 Test Summary'!A1" xr:uid="{5B6DFCE5-D104-4FFA-B7EB-12F9847254CE}"/>
  </hyperlinks>
  <pageMargins left="0.7" right="0.7" top="0.75" bottom="0.75" header="0.3" footer="0.3"/>
  <pageSetup orientation="portrait" r:id="rId1"/>
  <drawing r:id="rId2"/>
  <tableParts count="2">
    <tablePart r:id="rId3"/>
    <tablePart r:id="rId4"/>
  </tableParts>
  <extLst>
    <ext xmlns:x14="http://schemas.microsoft.com/office/spreadsheetml/2009/9/main" uri="{78C0D931-6437-407d-A8EE-F0AAD7539E65}">
      <x14:conditionalFormattings>
        <x14:conditionalFormatting xmlns:xm="http://schemas.microsoft.com/office/excel/2006/main">
          <x14:cfRule type="cellIs" priority="6" operator="equal" id="{D803D6DA-B8F4-4D1C-A878-EFF720B1BC6D}">
            <xm:f>Data!$L$13</xm:f>
            <x14:dxf>
              <font>
                <color theme="0"/>
              </font>
              <fill>
                <patternFill>
                  <bgColor rgb="FFF25022"/>
                </patternFill>
              </fill>
            </x14:dxf>
          </x14:cfRule>
          <x14:cfRule type="cellIs" priority="7" operator="equal" id="{19FDCBA6-A5A1-4B4A-A73B-8D3A12F8B06C}">
            <xm:f>Data!$L$12</xm:f>
            <x14:dxf>
              <font>
                <color theme="0"/>
              </font>
              <fill>
                <patternFill>
                  <bgColor rgb="FFF25022"/>
                </patternFill>
              </fill>
            </x14:dxf>
          </x14:cfRule>
          <x14:cfRule type="cellIs" priority="8" operator="equal" id="{9E966460-5833-4DC6-942D-5A6EE4449A87}">
            <xm:f>Data!$L$11</xm:f>
            <x14:dxf>
              <font>
                <color theme="0"/>
              </font>
              <fill>
                <patternFill>
                  <bgColor rgb="FFF25022"/>
                </patternFill>
              </fill>
            </x14:dxf>
          </x14:cfRule>
          <x14:cfRule type="cellIs" priority="9" operator="equal" id="{2F9EBA8E-CCB2-492A-B6D4-8822FEE1CC40}">
            <xm:f>Data!$L$10</xm:f>
            <x14:dxf>
              <font>
                <color theme="0"/>
              </font>
              <fill>
                <patternFill>
                  <bgColor rgb="FFF25022"/>
                </patternFill>
              </fill>
            </x14:dxf>
          </x14:cfRule>
          <x14:cfRule type="cellIs" priority="10" operator="equal" id="{71D64AA5-526B-4286-9F34-66030D885651}">
            <xm:f>Data!$L$6</xm:f>
            <x14:dxf>
              <font>
                <color theme="0"/>
              </font>
              <fill>
                <patternFill>
                  <bgColor rgb="FFF25022"/>
                </patternFill>
              </fill>
            </x14:dxf>
          </x14:cfRule>
          <x14:cfRule type="cellIs" priority="11" operator="equal" id="{4A0E5061-5BD9-44EA-B351-DCFBA86F6FB0}">
            <xm:f>Data!$L$9</xm:f>
            <x14:dxf>
              <font>
                <color theme="1"/>
              </font>
              <fill>
                <patternFill>
                  <bgColor rgb="FF7FBA00"/>
                </patternFill>
              </fill>
            </x14:dxf>
          </x14:cfRule>
          <x14:cfRule type="cellIs" priority="12" operator="equal" id="{A2F4FDD6-2346-40C9-A8EB-0019D4512F9B}">
            <xm:f>Data!$L$8</xm:f>
            <x14:dxf>
              <font>
                <color theme="1"/>
              </font>
              <fill>
                <patternFill>
                  <bgColor rgb="FF00A4EF"/>
                </patternFill>
              </fill>
            </x14:dxf>
          </x14:cfRule>
          <x14:cfRule type="cellIs" priority="13" operator="equal" id="{5F23908F-4F4E-4DC0-85D1-C28E57B69540}">
            <xm:f>Data!$L$7</xm:f>
            <x14:dxf>
              <font>
                <color theme="1"/>
              </font>
              <fill>
                <patternFill>
                  <bgColor rgb="FFFFB900"/>
                </patternFill>
              </fill>
            </x14:dxf>
          </x14:cfRule>
          <x14:cfRule type="cellIs" priority="14" operator="equal" id="{9C619E9A-99AC-4B4C-AFC6-A71E326DA594}">
            <xm:f>Data!$L$5</xm:f>
            <x14:dxf>
              <font>
                <color theme="0"/>
              </font>
              <fill>
                <patternFill>
                  <bgColor rgb="FFF25022"/>
                </patternFill>
              </fill>
            </x14:dxf>
          </x14:cfRule>
          <x14:cfRule type="cellIs" priority="15" operator="equal" id="{D4A79936-019D-45D4-AE59-4E909A86149B}">
            <xm:f>Data!$L$6+Data!$L$14</xm:f>
            <x14:dxf>
              <font>
                <color theme="0"/>
              </font>
              <fill>
                <patternFill>
                  <bgColor rgb="FF747474"/>
                </patternFill>
              </fill>
            </x14:dxf>
          </x14:cfRule>
          <xm:sqref>G27:J39</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022868DA-09CC-4B0C-896A-03824C0E99E1}">
          <x14:formula1>
            <xm:f>Data!$L$5:$L$14</xm:f>
          </x14:formula1>
          <xm:sqref>G27:G39</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021990-8D06-4B94-887C-4BE5DD96D95D}">
  <sheetPr>
    <tabColor rgb="FF737373"/>
  </sheetPr>
  <dimension ref="A1:X151"/>
  <sheetViews>
    <sheetView showGridLines="0" showRowColHeaders="0" topLeftCell="A10" zoomScaleNormal="100" zoomScalePageLayoutView="101" workbookViewId="0">
      <selection activeCell="I149" sqref="I149"/>
    </sheetView>
  </sheetViews>
  <sheetFormatPr defaultColWidth="0" defaultRowHeight="14.45" zeroHeight="1" outlineLevelRow="1"/>
  <cols>
    <col min="1" max="2" width="5.85546875" customWidth="1"/>
    <col min="3" max="3" width="20.42578125" bestFit="1" customWidth="1"/>
    <col min="4" max="4" width="17.42578125" bestFit="1" customWidth="1"/>
    <col min="5" max="5" width="36.85546875" bestFit="1" customWidth="1"/>
    <col min="6" max="6" width="2.85546875" customWidth="1"/>
    <col min="7" max="7" width="20.42578125" bestFit="1" customWidth="1"/>
    <col min="8" max="8" width="17.42578125" bestFit="1" customWidth="1"/>
    <col min="9" max="9" width="36.42578125" bestFit="1" customWidth="1"/>
    <col min="10" max="10" width="2" customWidth="1"/>
    <col min="11" max="11" width="20.42578125" bestFit="1" customWidth="1"/>
    <col min="12" max="12" width="17.42578125" bestFit="1" customWidth="1"/>
    <col min="13" max="13" width="36.42578125" bestFit="1" customWidth="1"/>
    <col min="14" max="14" width="2.140625" customWidth="1"/>
    <col min="15" max="22" width="9.42578125" customWidth="1"/>
    <col min="23" max="23" width="3.5703125" customWidth="1"/>
    <col min="24" max="24" width="0" hidden="1" customWidth="1"/>
    <col min="25" max="16384" width="8.85546875" hidden="1"/>
  </cols>
  <sheetData>
    <row r="1" spans="1:23">
      <c r="A1" s="4"/>
      <c r="B1" s="4"/>
      <c r="C1" s="4"/>
      <c r="D1" s="4"/>
      <c r="E1" s="4"/>
      <c r="F1" s="4"/>
      <c r="G1" s="4"/>
      <c r="H1" s="4"/>
      <c r="I1" s="4"/>
      <c r="J1" s="4"/>
      <c r="K1" s="4"/>
      <c r="L1" s="4"/>
      <c r="M1" s="4"/>
      <c r="N1" s="4"/>
      <c r="O1" s="4"/>
      <c r="P1" s="4"/>
      <c r="Q1" s="4"/>
      <c r="R1" s="4"/>
      <c r="S1" s="4"/>
      <c r="T1" s="4"/>
      <c r="U1" s="4"/>
      <c r="V1" s="4"/>
      <c r="W1" s="4"/>
    </row>
    <row r="2" spans="1:23" ht="21">
      <c r="A2" s="4"/>
      <c r="B2" s="4"/>
      <c r="C2" s="618" t="s">
        <v>1890</v>
      </c>
      <c r="D2" s="618"/>
      <c r="E2" s="618"/>
      <c r="F2" s="618"/>
      <c r="G2" s="618"/>
      <c r="H2" s="618"/>
      <c r="I2" s="618"/>
      <c r="J2" s="618"/>
      <c r="K2" s="618"/>
      <c r="L2" s="618"/>
      <c r="M2" s="618"/>
      <c r="N2" s="618"/>
      <c r="O2" s="618"/>
      <c r="P2" s="618"/>
      <c r="Q2" s="618"/>
      <c r="R2" s="618"/>
      <c r="S2" s="618"/>
      <c r="T2" s="618"/>
      <c r="U2" s="618"/>
      <c r="V2" s="618"/>
      <c r="W2" s="4"/>
    </row>
    <row r="3" spans="1:23">
      <c r="A3" s="4"/>
      <c r="B3" s="4"/>
      <c r="C3" s="646" t="s">
        <v>1891</v>
      </c>
      <c r="D3" s="646"/>
      <c r="E3" s="646"/>
      <c r="F3" s="646"/>
      <c r="G3" s="646"/>
      <c r="H3" s="646"/>
      <c r="I3" s="646"/>
      <c r="J3" s="646"/>
      <c r="K3" s="646"/>
      <c r="L3" s="646"/>
      <c r="M3" s="646"/>
      <c r="N3" s="646"/>
      <c r="O3" s="646"/>
      <c r="P3" s="646"/>
      <c r="Q3" s="646"/>
      <c r="R3" s="646"/>
      <c r="S3" s="646"/>
      <c r="T3" s="646"/>
      <c r="U3" s="646"/>
      <c r="V3" s="646"/>
      <c r="W3" s="4"/>
    </row>
    <row r="4" spans="1:23">
      <c r="A4" s="4"/>
      <c r="B4" s="4"/>
      <c r="C4" s="4"/>
      <c r="D4" s="4"/>
      <c r="E4" s="4"/>
      <c r="F4" s="4"/>
      <c r="G4" s="4"/>
      <c r="H4" s="4"/>
      <c r="I4" s="4"/>
      <c r="J4" s="4"/>
      <c r="K4" s="4"/>
      <c r="L4" s="4"/>
      <c r="M4" s="4"/>
      <c r="N4" s="4"/>
      <c r="O4" s="4"/>
      <c r="P4" s="4"/>
      <c r="Q4" s="4"/>
      <c r="R4" s="4"/>
      <c r="S4" s="4"/>
      <c r="T4" s="4"/>
      <c r="U4" s="4"/>
      <c r="V4" s="4"/>
      <c r="W4" s="4"/>
    </row>
    <row r="5" spans="1:23">
      <c r="A5" s="4"/>
      <c r="B5" s="4"/>
      <c r="C5" s="224" t="s">
        <v>1892</v>
      </c>
      <c r="D5" s="8"/>
      <c r="E5" s="8"/>
      <c r="F5" s="8"/>
      <c r="G5" s="8"/>
      <c r="H5" s="8"/>
      <c r="I5" s="8"/>
      <c r="J5" s="8"/>
      <c r="K5" s="8"/>
      <c r="L5" s="8"/>
      <c r="M5" s="8"/>
      <c r="N5" s="8"/>
      <c r="O5" s="8"/>
      <c r="P5" s="8"/>
      <c r="Q5" s="8"/>
      <c r="R5" s="8"/>
      <c r="S5" s="8"/>
      <c r="T5" s="8"/>
      <c r="U5" s="8"/>
      <c r="V5" s="8"/>
      <c r="W5" s="4"/>
    </row>
    <row r="6" spans="1:23" ht="21">
      <c r="A6" s="4"/>
      <c r="B6" s="4"/>
      <c r="C6" s="196">
        <v>2023</v>
      </c>
      <c r="D6" s="8"/>
      <c r="E6" s="55"/>
      <c r="F6" s="8"/>
      <c r="G6" s="8"/>
      <c r="H6" s="8"/>
      <c r="I6" s="8"/>
      <c r="J6" s="8"/>
      <c r="K6" s="8"/>
      <c r="L6" s="8"/>
      <c r="M6" s="8"/>
      <c r="N6" s="8"/>
      <c r="O6" s="8"/>
      <c r="P6" s="8"/>
      <c r="Q6" s="8"/>
      <c r="R6" s="8"/>
      <c r="S6" s="8"/>
      <c r="T6" s="8"/>
      <c r="U6" s="8"/>
      <c r="V6" s="8"/>
      <c r="W6" s="4"/>
    </row>
    <row r="7" spans="1:23" ht="21">
      <c r="A7" s="4"/>
      <c r="B7" s="4"/>
      <c r="C7" s="78"/>
      <c r="D7" s="8"/>
      <c r="E7" s="55"/>
      <c r="F7" s="8"/>
      <c r="G7" s="8"/>
      <c r="H7" s="8"/>
      <c r="I7" s="8"/>
      <c r="J7" s="8"/>
      <c r="K7" s="8"/>
      <c r="L7" s="8"/>
      <c r="M7" s="8"/>
      <c r="N7" s="8"/>
      <c r="O7" s="8"/>
      <c r="P7" s="8"/>
      <c r="Q7" s="8"/>
      <c r="R7" s="8"/>
      <c r="S7" s="8"/>
      <c r="T7" s="8"/>
      <c r="U7" s="8"/>
      <c r="V7" s="8"/>
      <c r="W7" s="4"/>
    </row>
    <row r="8" spans="1:23" ht="21">
      <c r="A8" s="4"/>
      <c r="B8" s="4"/>
      <c r="C8" s="712" t="s">
        <v>1893</v>
      </c>
      <c r="D8" s="712"/>
      <c r="E8" s="712"/>
      <c r="F8" s="712"/>
      <c r="G8" s="712"/>
      <c r="H8" s="712"/>
      <c r="I8" s="712"/>
      <c r="J8" s="712"/>
      <c r="K8" s="712"/>
      <c r="L8" s="712"/>
      <c r="M8" s="712"/>
      <c r="N8" s="712"/>
      <c r="O8" s="712"/>
      <c r="P8" s="712"/>
      <c r="Q8" s="712"/>
      <c r="R8" s="712"/>
      <c r="S8" s="712"/>
      <c r="T8" s="712"/>
      <c r="U8" s="712"/>
      <c r="V8" s="712"/>
      <c r="W8" s="4"/>
    </row>
    <row r="9" spans="1:23" ht="21" outlineLevel="1">
      <c r="A9" s="4"/>
      <c r="B9" s="4"/>
      <c r="C9" s="73"/>
      <c r="D9" s="72"/>
      <c r="E9" s="55"/>
      <c r="F9" s="8"/>
      <c r="G9" s="8"/>
      <c r="H9" s="8"/>
      <c r="I9" s="8"/>
      <c r="J9" s="8"/>
      <c r="K9" s="8"/>
      <c r="L9" s="8"/>
      <c r="M9" s="8"/>
      <c r="N9" s="8"/>
      <c r="O9" s="8"/>
      <c r="P9" s="8"/>
      <c r="Q9" s="8"/>
      <c r="R9" s="8"/>
      <c r="S9" s="8"/>
      <c r="T9" s="8"/>
      <c r="U9" s="8"/>
      <c r="V9" s="8"/>
      <c r="W9" s="4"/>
    </row>
    <row r="10" spans="1:23" ht="21" outlineLevel="1">
      <c r="A10" s="4"/>
      <c r="B10" s="4"/>
      <c r="C10" s="711" t="s">
        <v>1894</v>
      </c>
      <c r="D10" s="711"/>
      <c r="E10" s="711"/>
      <c r="F10" s="8"/>
      <c r="G10" s="711" t="s">
        <v>1895</v>
      </c>
      <c r="H10" s="711"/>
      <c r="I10" s="711"/>
      <c r="J10" s="8"/>
      <c r="K10" s="711" t="s">
        <v>1896</v>
      </c>
      <c r="L10" s="711"/>
      <c r="M10" s="711"/>
      <c r="N10" s="8"/>
      <c r="O10" s="304" t="s">
        <v>1897</v>
      </c>
      <c r="P10" s="301" t="s">
        <v>1898</v>
      </c>
      <c r="Q10" s="301" t="s">
        <v>1899</v>
      </c>
      <c r="R10" s="301" t="s">
        <v>1900</v>
      </c>
      <c r="S10" s="301" t="s">
        <v>1901</v>
      </c>
      <c r="T10" s="301" t="s">
        <v>1902</v>
      </c>
      <c r="U10" s="301" t="s">
        <v>1903</v>
      </c>
      <c r="V10" s="301" t="s">
        <v>1904</v>
      </c>
      <c r="W10" s="4"/>
    </row>
    <row r="11" spans="1:23" outlineLevel="1">
      <c r="A11" s="4"/>
      <c r="B11" s="4"/>
      <c r="C11" s="289" t="s">
        <v>1905</v>
      </c>
      <c r="D11" s="289" t="s">
        <v>1906</v>
      </c>
      <c r="E11" s="289" t="s">
        <v>1907</v>
      </c>
      <c r="F11" s="8"/>
      <c r="G11" s="289" t="s">
        <v>1905</v>
      </c>
      <c r="H11" s="289" t="s">
        <v>1906</v>
      </c>
      <c r="I11" s="289" t="s">
        <v>1907</v>
      </c>
      <c r="J11" s="8"/>
      <c r="K11" s="289" t="s">
        <v>1905</v>
      </c>
      <c r="L11" s="289" t="s">
        <v>1906</v>
      </c>
      <c r="M11" s="289" t="s">
        <v>1907</v>
      </c>
      <c r="N11" s="8"/>
      <c r="O11" s="54"/>
      <c r="P11" s="74">
        <f>IF(DAY(JanSun1)=1,JanSun1-6,JanSun1+1)</f>
        <v>44921</v>
      </c>
      <c r="Q11" s="74">
        <f>IF(DAY(JanSun1)=1,JanSun1-5,JanSun1+2)</f>
        <v>44922</v>
      </c>
      <c r="R11" s="74">
        <f>IF(DAY(JanSun1)=1,JanSun1-4,JanSun1+3)</f>
        <v>44923</v>
      </c>
      <c r="S11" s="74">
        <f>IF(DAY(JanSun1)=1,JanSun1-3,JanSun1+4)</f>
        <v>44924</v>
      </c>
      <c r="T11" s="74">
        <f>IF(DAY(JanSun1)=1,JanSun1-2,JanSun1+5)</f>
        <v>44925</v>
      </c>
      <c r="U11" s="74">
        <f>IF(DAY(JanSun1)=1,JanSun1-1,JanSun1+6)</f>
        <v>44926</v>
      </c>
      <c r="V11" s="74">
        <f>IF(DAY(JanSun1)=1,JanSun1,JanSun1+7)</f>
        <v>44927</v>
      </c>
      <c r="W11" s="4"/>
    </row>
    <row r="12" spans="1:23" ht="29.1" outlineLevel="1">
      <c r="A12" s="4"/>
      <c r="B12" s="4"/>
      <c r="C12" s="294" t="s">
        <v>1898</v>
      </c>
      <c r="D12" s="290">
        <v>2</v>
      </c>
      <c r="E12" s="291" t="s">
        <v>1908</v>
      </c>
      <c r="F12" s="8"/>
      <c r="G12" s="294" t="s">
        <v>1898</v>
      </c>
      <c r="H12" s="290">
        <v>27</v>
      </c>
      <c r="I12" s="291" t="s">
        <v>1909</v>
      </c>
      <c r="J12" s="8"/>
      <c r="K12" s="294" t="s">
        <v>1898</v>
      </c>
      <c r="L12" s="295">
        <v>13</v>
      </c>
      <c r="M12" s="296" t="s">
        <v>1910</v>
      </c>
      <c r="N12" s="8"/>
      <c r="O12" s="54"/>
      <c r="P12" s="74">
        <f>IF(DAY(JanSun1)=1,JanSun1+1,JanSun1+8)</f>
        <v>44928</v>
      </c>
      <c r="Q12" s="74">
        <f>IF(DAY(JanSun1)=1,JanSun1+2,JanSun1+9)</f>
        <v>44929</v>
      </c>
      <c r="R12" s="74">
        <f>IF(DAY(JanSun1)=1,JanSun1+3,JanSun1+10)</f>
        <v>44930</v>
      </c>
      <c r="S12" s="74">
        <f>IF(DAY(JanSun1)=1,JanSun1+4,JanSun1+11)</f>
        <v>44931</v>
      </c>
      <c r="T12" s="74">
        <f>IF(DAY(JanSun1)=1,JanSun1+5,JanSun1+12)</f>
        <v>44932</v>
      </c>
      <c r="U12" s="74">
        <f>IF(DAY(JanSun1)=1,JanSun1+6,JanSun1+13)</f>
        <v>44933</v>
      </c>
      <c r="V12" s="74">
        <f>IF(DAY(JanSun1)=1,JanSun1+7,JanSun1+14)</f>
        <v>44934</v>
      </c>
      <c r="W12" s="4"/>
    </row>
    <row r="13" spans="1:23" ht="29.1" outlineLevel="1">
      <c r="A13" s="4"/>
      <c r="B13" s="4"/>
      <c r="C13" s="294"/>
      <c r="D13" s="290">
        <v>9</v>
      </c>
      <c r="E13" s="291" t="s">
        <v>1911</v>
      </c>
      <c r="F13" s="8"/>
      <c r="G13" s="294"/>
      <c r="H13" s="290">
        <v>20</v>
      </c>
      <c r="I13" s="291" t="s">
        <v>1912</v>
      </c>
      <c r="J13" s="8"/>
      <c r="K13" s="294"/>
      <c r="L13" s="295">
        <v>27</v>
      </c>
      <c r="M13" s="296" t="s">
        <v>1913</v>
      </c>
      <c r="N13" s="8"/>
      <c r="O13" s="54"/>
      <c r="P13" s="74">
        <f>IF(DAY(JanSun1)=1,JanSun1+8,JanSun1+15)</f>
        <v>44935</v>
      </c>
      <c r="Q13" s="74">
        <f>IF(DAY(JanSun1)=1,JanSun1+9,JanSun1+16)</f>
        <v>44936</v>
      </c>
      <c r="R13" s="74">
        <f>IF(DAY(JanSun1)=1,JanSun1+10,JanSun1+17)</f>
        <v>44937</v>
      </c>
      <c r="S13" s="74">
        <f>IF(DAY(JanSun1)=1,JanSun1+11,JanSun1+18)</f>
        <v>44938</v>
      </c>
      <c r="T13" s="74">
        <f>IF(DAY(JanSun1)=1,JanSun1+12,JanSun1+19)</f>
        <v>44939</v>
      </c>
      <c r="U13" s="74">
        <f>IF(DAY(JanSun1)=1,JanSun1+13,JanSun1+20)</f>
        <v>44940</v>
      </c>
      <c r="V13" s="74">
        <f>IF(DAY(JanSun1)=1,JanSun1+14,JanSun1+21)</f>
        <v>44941</v>
      </c>
      <c r="W13" s="4"/>
    </row>
    <row r="14" spans="1:23" outlineLevel="1">
      <c r="A14" s="4"/>
      <c r="B14" s="4"/>
      <c r="C14" s="294"/>
      <c r="D14" s="290">
        <v>16</v>
      </c>
      <c r="E14" s="291" t="s">
        <v>1914</v>
      </c>
      <c r="F14" s="8"/>
      <c r="G14" s="294"/>
      <c r="H14" s="290"/>
      <c r="I14" s="291"/>
      <c r="J14" s="8"/>
      <c r="K14" s="294"/>
      <c r="L14" s="295"/>
      <c r="M14" s="296"/>
      <c r="N14" s="8"/>
      <c r="O14" s="54"/>
      <c r="P14" s="74">
        <f>IF(DAY(JanSun1)=1,JanSun1+15,JanSun1+22)</f>
        <v>44942</v>
      </c>
      <c r="Q14" s="74">
        <f>IF(DAY(JanSun1)=1,JanSun1+16,JanSun1+23)</f>
        <v>44943</v>
      </c>
      <c r="R14" s="74">
        <f>IF(DAY(JanSun1)=1,JanSun1+17,JanSun1+24)</f>
        <v>44944</v>
      </c>
      <c r="S14" s="74">
        <f>IF(DAY(JanSun1)=1,JanSun1+18,JanSun1+25)</f>
        <v>44945</v>
      </c>
      <c r="T14" s="74">
        <f>IF(DAY(JanSun1)=1,JanSun1+19,JanSun1+26)</f>
        <v>44946</v>
      </c>
      <c r="U14" s="74">
        <f>IF(DAY(JanSun1)=1,JanSun1+20,JanSun1+27)</f>
        <v>44947</v>
      </c>
      <c r="V14" s="74">
        <f>IF(DAY(JanSun1)=1,JanSun1+21,JanSun1+28)</f>
        <v>44948</v>
      </c>
      <c r="W14" s="4"/>
    </row>
    <row r="15" spans="1:23" outlineLevel="1">
      <c r="A15" s="4"/>
      <c r="B15" s="4"/>
      <c r="C15" s="294"/>
      <c r="D15" s="290">
        <v>23</v>
      </c>
      <c r="E15" s="291" t="s">
        <v>1915</v>
      </c>
      <c r="F15" s="8"/>
      <c r="G15" s="294"/>
      <c r="H15" s="290"/>
      <c r="I15" s="291"/>
      <c r="J15" s="8"/>
      <c r="K15" s="294"/>
      <c r="L15" s="295"/>
      <c r="M15" s="296"/>
      <c r="N15" s="8"/>
      <c r="O15" s="54"/>
      <c r="P15" s="74">
        <f>IF(DAY(JanSun1)=1,JanSun1+22,JanSun1+29)</f>
        <v>44949</v>
      </c>
      <c r="Q15" s="74">
        <f>IF(DAY(JanSun1)=1,JanSun1+23,JanSun1+30)</f>
        <v>44950</v>
      </c>
      <c r="R15" s="74">
        <f>IF(DAY(JanSun1)=1,JanSun1+24,JanSun1+31)</f>
        <v>44951</v>
      </c>
      <c r="S15" s="74">
        <f>IF(DAY(JanSun1)=1,JanSun1+25,JanSun1+32)</f>
        <v>44952</v>
      </c>
      <c r="T15" s="74">
        <f>IF(DAY(JanSun1)=1,JanSun1+26,JanSun1+33)</f>
        <v>44953</v>
      </c>
      <c r="U15" s="74">
        <f>IF(DAY(JanSun1)=1,JanSun1+27,JanSun1+34)</f>
        <v>44954</v>
      </c>
      <c r="V15" s="74">
        <f>IF(DAY(JanSun1)=1,JanSun1+28,JanSun1+35)</f>
        <v>44955</v>
      </c>
      <c r="W15" s="4"/>
    </row>
    <row r="16" spans="1:23" outlineLevel="1">
      <c r="A16" s="4"/>
      <c r="B16" s="4"/>
      <c r="C16" s="294"/>
      <c r="D16" s="290"/>
      <c r="E16" s="291"/>
      <c r="F16" s="8"/>
      <c r="G16" s="294"/>
      <c r="H16" s="290"/>
      <c r="I16" s="291"/>
      <c r="J16" s="8"/>
      <c r="K16" s="294"/>
      <c r="L16" s="295"/>
      <c r="M16" s="296"/>
      <c r="N16" s="8"/>
      <c r="O16" s="75"/>
      <c r="P16" s="76">
        <f>IF(DAY(JanSun1)=1,JanSun1+29,JanSun1+36)</f>
        <v>44956</v>
      </c>
      <c r="Q16" s="76">
        <f>IF(DAY(JanSun1)=1,JanSun1+30,JanSun1+37)</f>
        <v>44957</v>
      </c>
      <c r="R16" s="76">
        <f>IF(DAY(JanSun1)=1,JanSun1+31,JanSun1+38)</f>
        <v>44958</v>
      </c>
      <c r="S16" s="76">
        <f>IF(DAY(JanSun1)=1,JanSun1+32,JanSun1+39)</f>
        <v>44959</v>
      </c>
      <c r="T16" s="76">
        <f>IF(DAY(JanSun1)=1,JanSun1+33,JanSun1+40)</f>
        <v>44960</v>
      </c>
      <c r="U16" s="76">
        <f>IF(DAY(JanSun1)=1,JanSun1+34,JanSun1+41)</f>
        <v>44961</v>
      </c>
      <c r="V16" s="76">
        <f>IF(DAY(JanSun1)=1,JanSun1+35,JanSun1+42)</f>
        <v>44962</v>
      </c>
      <c r="W16" s="4"/>
    </row>
    <row r="17" spans="1:23" outlineLevel="1">
      <c r="A17" s="4"/>
      <c r="B17" s="4"/>
      <c r="C17" s="294"/>
      <c r="D17" s="290"/>
      <c r="E17" s="292"/>
      <c r="F17" s="8"/>
      <c r="G17" s="294"/>
      <c r="H17" s="290"/>
      <c r="I17" s="293"/>
      <c r="J17" s="8"/>
      <c r="K17" s="297"/>
      <c r="L17" s="298"/>
      <c r="M17" s="299"/>
      <c r="N17" s="8"/>
      <c r="O17" s="4"/>
      <c r="P17" s="4"/>
      <c r="Q17" s="4"/>
      <c r="R17" s="4"/>
      <c r="S17" s="4"/>
      <c r="T17" s="4"/>
      <c r="U17" s="4"/>
      <c r="V17" s="4"/>
      <c r="W17" s="4"/>
    </row>
    <row r="18" spans="1:23" outlineLevel="1">
      <c r="A18" s="4"/>
      <c r="B18" s="4"/>
      <c r="C18" s="294" t="s">
        <v>1899</v>
      </c>
      <c r="D18" s="290">
        <v>17</v>
      </c>
      <c r="E18" s="291" t="s">
        <v>1916</v>
      </c>
      <c r="F18" s="8"/>
      <c r="G18" s="294" t="s">
        <v>1899</v>
      </c>
      <c r="H18" s="290">
        <v>2</v>
      </c>
      <c r="I18" s="291" t="s">
        <v>1908</v>
      </c>
      <c r="J18" s="8"/>
      <c r="K18" s="294" t="s">
        <v>1899</v>
      </c>
      <c r="L18" s="295"/>
      <c r="M18" s="296"/>
      <c r="N18" s="8"/>
      <c r="O18" s="8"/>
      <c r="P18" s="8"/>
      <c r="Q18" s="8"/>
      <c r="R18" s="8"/>
      <c r="S18" s="8"/>
      <c r="T18" s="8"/>
      <c r="U18" s="8"/>
      <c r="V18" s="8"/>
      <c r="W18" s="4"/>
    </row>
    <row r="19" spans="1:23" outlineLevel="1">
      <c r="A19" s="4"/>
      <c r="B19" s="4"/>
      <c r="C19" s="294"/>
      <c r="D19" s="290"/>
      <c r="E19" s="291"/>
      <c r="F19" s="8"/>
      <c r="G19" s="294"/>
      <c r="H19" s="290"/>
      <c r="I19" s="291"/>
      <c r="J19" s="8"/>
      <c r="K19" s="294"/>
      <c r="L19" s="295"/>
      <c r="M19" s="296"/>
      <c r="N19" s="8"/>
      <c r="O19" s="4"/>
      <c r="P19" s="4"/>
      <c r="Q19" s="4"/>
      <c r="R19" s="4"/>
      <c r="S19" s="4"/>
      <c r="T19" s="4"/>
      <c r="U19" s="4"/>
      <c r="V19" s="4"/>
      <c r="W19" s="4"/>
    </row>
    <row r="20" spans="1:23" outlineLevel="1">
      <c r="A20" s="4"/>
      <c r="B20" s="4"/>
      <c r="C20" s="294"/>
      <c r="D20" s="290"/>
      <c r="E20" s="291"/>
      <c r="F20" s="8"/>
      <c r="G20" s="294"/>
      <c r="H20" s="290"/>
      <c r="I20" s="291"/>
      <c r="J20" s="8"/>
      <c r="K20" s="294"/>
      <c r="L20" s="295"/>
      <c r="M20" s="296"/>
      <c r="N20" s="8"/>
      <c r="O20" s="4"/>
      <c r="P20" s="4"/>
      <c r="Q20" s="4"/>
      <c r="R20" s="4"/>
      <c r="S20" s="4"/>
      <c r="T20" s="4"/>
      <c r="U20" s="4"/>
      <c r="V20" s="4"/>
      <c r="W20" s="4"/>
    </row>
    <row r="21" spans="1:23" outlineLevel="1">
      <c r="A21" s="4"/>
      <c r="B21" s="4"/>
      <c r="C21" s="294"/>
      <c r="D21" s="290"/>
      <c r="E21" s="291"/>
      <c r="F21" s="8"/>
      <c r="G21" s="294"/>
      <c r="H21" s="290"/>
      <c r="I21" s="291"/>
      <c r="J21" s="8"/>
      <c r="K21" s="294"/>
      <c r="L21" s="295"/>
      <c r="M21" s="296"/>
      <c r="N21" s="8"/>
      <c r="O21" s="4"/>
      <c r="P21" s="4"/>
      <c r="Q21" s="4"/>
      <c r="R21" s="4"/>
      <c r="S21" s="4"/>
      <c r="T21" s="4"/>
      <c r="U21" s="4"/>
      <c r="V21" s="4"/>
      <c r="W21" s="4"/>
    </row>
    <row r="22" spans="1:23" ht="21" outlineLevel="1">
      <c r="A22" s="4"/>
      <c r="B22" s="4"/>
      <c r="C22" s="294"/>
      <c r="D22" s="290"/>
      <c r="E22" s="291"/>
      <c r="F22" s="8"/>
      <c r="G22" s="294"/>
      <c r="H22" s="290"/>
      <c r="I22" s="291"/>
      <c r="J22" s="8"/>
      <c r="K22" s="294"/>
      <c r="L22" s="295"/>
      <c r="M22" s="296"/>
      <c r="N22" s="8"/>
      <c r="O22" s="305" t="s">
        <v>1917</v>
      </c>
      <c r="P22" s="302" t="s">
        <v>1898</v>
      </c>
      <c r="Q22" s="302" t="s">
        <v>1899</v>
      </c>
      <c r="R22" s="302" t="s">
        <v>1900</v>
      </c>
      <c r="S22" s="302" t="s">
        <v>1901</v>
      </c>
      <c r="T22" s="302" t="s">
        <v>1902</v>
      </c>
      <c r="U22" s="302" t="s">
        <v>1903</v>
      </c>
      <c r="V22" s="302" t="s">
        <v>1904</v>
      </c>
      <c r="W22" s="4"/>
    </row>
    <row r="23" spans="1:23" outlineLevel="1">
      <c r="A23" s="4"/>
      <c r="B23" s="4"/>
      <c r="C23" s="294"/>
      <c r="D23" s="290"/>
      <c r="E23" s="292"/>
      <c r="F23" s="8"/>
      <c r="G23" s="294"/>
      <c r="H23" s="290"/>
      <c r="I23" s="293"/>
      <c r="J23" s="8"/>
      <c r="K23" s="297"/>
      <c r="L23" s="298"/>
      <c r="M23" s="299"/>
      <c r="N23" s="8"/>
      <c r="O23" s="54"/>
      <c r="P23" s="74">
        <f>IF(DAY(FebSun1)=1,FebSun1-6,FebSun1+1)</f>
        <v>44956</v>
      </c>
      <c r="Q23" s="74">
        <f>IF(DAY(FebSun1)=1,FebSun1-5,FebSun1+2)</f>
        <v>44957</v>
      </c>
      <c r="R23" s="74">
        <f>IF(DAY(FebSun1)=1,FebSun1-4,FebSun1+3)</f>
        <v>44958</v>
      </c>
      <c r="S23" s="74">
        <f>IF(DAY(FebSun1)=1,FebSun1-3,FebSun1+4)</f>
        <v>44959</v>
      </c>
      <c r="T23" s="74">
        <f>IF(DAY(FebSun1)=1,FebSun1-2,FebSun1+5)</f>
        <v>44960</v>
      </c>
      <c r="U23" s="74">
        <f>IF(DAY(FebSun1)=1,FebSun1-1,FebSun1+6)</f>
        <v>44961</v>
      </c>
      <c r="V23" s="74">
        <f>IF(DAY(FebSun1)=1,FebSun1,FebSun1+7)</f>
        <v>44962</v>
      </c>
      <c r="W23" s="4"/>
    </row>
    <row r="24" spans="1:23" outlineLevel="1">
      <c r="A24" s="4"/>
      <c r="B24" s="4"/>
      <c r="C24" s="294" t="s">
        <v>1900</v>
      </c>
      <c r="D24" s="290">
        <v>25</v>
      </c>
      <c r="E24" s="291" t="s">
        <v>1918</v>
      </c>
      <c r="F24" s="8"/>
      <c r="G24" s="294" t="s">
        <v>1900</v>
      </c>
      <c r="H24" s="290">
        <v>15</v>
      </c>
      <c r="I24" s="291" t="s">
        <v>1919</v>
      </c>
      <c r="J24" s="8"/>
      <c r="K24" s="294" t="s">
        <v>1900</v>
      </c>
      <c r="L24" s="295">
        <v>14</v>
      </c>
      <c r="M24" s="296"/>
      <c r="N24" s="8"/>
      <c r="O24" s="54"/>
      <c r="P24" s="74">
        <f>IF(DAY(FebSun1)=1,FebSun1+1,FebSun1+8)</f>
        <v>44963</v>
      </c>
      <c r="Q24" s="74">
        <f>IF(DAY(FebSun1)=1,FebSun1+2,FebSun1+9)</f>
        <v>44964</v>
      </c>
      <c r="R24" s="74">
        <f>IF(DAY(FebSun1)=1,FebSun1+3,FebSun1+10)</f>
        <v>44965</v>
      </c>
      <c r="S24" s="74">
        <f>IF(DAY(FebSun1)=1,FebSun1+4,FebSun1+11)</f>
        <v>44966</v>
      </c>
      <c r="T24" s="74">
        <f>IF(DAY(FebSun1)=1,FebSun1+5,FebSun1+12)</f>
        <v>44967</v>
      </c>
      <c r="U24" s="74">
        <f>IF(DAY(FebSun1)=1,FebSun1+6,FebSun1+13)</f>
        <v>44968</v>
      </c>
      <c r="V24" s="74">
        <f>IF(DAY(FebSun1)=1,FebSun1+7,FebSun1+14)</f>
        <v>44969</v>
      </c>
      <c r="W24" s="4"/>
    </row>
    <row r="25" spans="1:23" outlineLevel="1">
      <c r="A25" s="4"/>
      <c r="B25" s="4"/>
      <c r="C25" s="294"/>
      <c r="D25" s="290"/>
      <c r="E25" s="291"/>
      <c r="F25" s="8"/>
      <c r="G25" s="294"/>
      <c r="H25" s="290"/>
      <c r="I25" s="291"/>
      <c r="J25" s="8"/>
      <c r="K25" s="294"/>
      <c r="L25" s="295"/>
      <c r="M25" s="296"/>
      <c r="N25" s="8"/>
      <c r="O25" s="54"/>
      <c r="P25" s="74">
        <f>IF(DAY(FebSun1)=1,FebSun1+8,FebSun1+15)</f>
        <v>44970</v>
      </c>
      <c r="Q25" s="74">
        <f>IF(DAY(FebSun1)=1,FebSun1+9,FebSun1+16)</f>
        <v>44971</v>
      </c>
      <c r="R25" s="74">
        <f>IF(DAY(FebSun1)=1,FebSun1+10,FebSun1+17)</f>
        <v>44972</v>
      </c>
      <c r="S25" s="74">
        <f>IF(DAY(FebSun1)=1,FebSun1+11,FebSun1+18)</f>
        <v>44973</v>
      </c>
      <c r="T25" s="74">
        <f>IF(DAY(FebSun1)=1,FebSun1+12,FebSun1+19)</f>
        <v>44974</v>
      </c>
      <c r="U25" s="74">
        <f>IF(DAY(FebSun1)=1,FebSun1+13,FebSun1+20)</f>
        <v>44975</v>
      </c>
      <c r="V25" s="74">
        <f>IF(DAY(FebSun1)=1,FebSun1+14,FebSun1+21)</f>
        <v>44976</v>
      </c>
      <c r="W25" s="4"/>
    </row>
    <row r="26" spans="1:23" outlineLevel="1">
      <c r="A26" s="4"/>
      <c r="B26" s="4"/>
      <c r="C26" s="294"/>
      <c r="D26" s="290"/>
      <c r="E26" s="291"/>
      <c r="F26" s="8"/>
      <c r="G26" s="294"/>
      <c r="H26" s="290"/>
      <c r="I26" s="291"/>
      <c r="J26" s="8"/>
      <c r="K26" s="294"/>
      <c r="L26" s="295"/>
      <c r="M26" s="296"/>
      <c r="N26" s="8"/>
      <c r="O26" s="54"/>
      <c r="P26" s="74">
        <f>IF(DAY(FebSun1)=1,FebSun1+15,FebSun1+22)</f>
        <v>44977</v>
      </c>
      <c r="Q26" s="74">
        <f>IF(DAY(FebSun1)=1,FebSun1+16,FebSun1+23)</f>
        <v>44978</v>
      </c>
      <c r="R26" s="74">
        <f>IF(DAY(FebSun1)=1,FebSun1+17,FebSun1+24)</f>
        <v>44979</v>
      </c>
      <c r="S26" s="74">
        <f>IF(DAY(FebSun1)=1,FebSun1+18,FebSun1+25)</f>
        <v>44980</v>
      </c>
      <c r="T26" s="74">
        <f>IF(DAY(FebSun1)=1,FebSun1+19,FebSun1+26)</f>
        <v>44981</v>
      </c>
      <c r="U26" s="74">
        <f>IF(DAY(FebSun1)=1,FebSun1+20,FebSun1+27)</f>
        <v>44982</v>
      </c>
      <c r="V26" s="74">
        <f>IF(DAY(FebSun1)=1,FebSun1+21,FebSun1+28)</f>
        <v>44983</v>
      </c>
      <c r="W26" s="4"/>
    </row>
    <row r="27" spans="1:23" outlineLevel="1">
      <c r="A27" s="4"/>
      <c r="B27" s="4"/>
      <c r="C27" s="294"/>
      <c r="D27" s="290"/>
      <c r="E27" s="291"/>
      <c r="F27" s="8"/>
      <c r="G27" s="294"/>
      <c r="H27" s="290"/>
      <c r="I27" s="291"/>
      <c r="J27" s="8"/>
      <c r="K27" s="294"/>
      <c r="L27" s="295"/>
      <c r="M27" s="296"/>
      <c r="N27" s="8"/>
      <c r="O27" s="54"/>
      <c r="P27" s="74">
        <f>IF(DAY(FebSun1)=1,FebSun1+22,FebSun1+29)</f>
        <v>44984</v>
      </c>
      <c r="Q27" s="74">
        <f>IF(DAY(FebSun1)=1,FebSun1+23,FebSun1+30)</f>
        <v>44985</v>
      </c>
      <c r="R27" s="74">
        <f>IF(DAY(FebSun1)=1,FebSun1+24,FebSun1+31)</f>
        <v>44986</v>
      </c>
      <c r="S27" s="74">
        <f>IF(DAY(FebSun1)=1,FebSun1+25,FebSun1+32)</f>
        <v>44987</v>
      </c>
      <c r="T27" s="74">
        <f>IF(DAY(FebSun1)=1,FebSun1+26,FebSun1+33)</f>
        <v>44988</v>
      </c>
      <c r="U27" s="74">
        <f>IF(DAY(FebSun1)=1,FebSun1+27,FebSun1+34)</f>
        <v>44989</v>
      </c>
      <c r="V27" s="74">
        <f>IF(DAY(FebSun1)=1,FebSun1+28,FebSun1+35)</f>
        <v>44990</v>
      </c>
      <c r="W27" s="4"/>
    </row>
    <row r="28" spans="1:23" outlineLevel="1">
      <c r="A28" s="4"/>
      <c r="B28" s="4"/>
      <c r="C28" s="294"/>
      <c r="D28" s="290"/>
      <c r="E28" s="291"/>
      <c r="F28" s="8"/>
      <c r="G28" s="294"/>
      <c r="H28" s="290"/>
      <c r="I28" s="291"/>
      <c r="J28" s="8"/>
      <c r="K28" s="294"/>
      <c r="L28" s="295"/>
      <c r="M28" s="296"/>
      <c r="N28" s="8"/>
      <c r="O28" s="75"/>
      <c r="P28" s="74">
        <f>IF(DAY(FebSun1)=1,FebSun1+29,FebSun1+36)</f>
        <v>44991</v>
      </c>
      <c r="Q28" s="74">
        <f>IF(DAY(FebSun1)=1,FebSun1+30,FebSun1+37)</f>
        <v>44992</v>
      </c>
      <c r="R28" s="74">
        <f>IF(DAY(FebSun1)=1,FebSun1+31,FebSun1+38)</f>
        <v>44993</v>
      </c>
      <c r="S28" s="74">
        <f>IF(DAY(FebSun1)=1,FebSun1+32,FebSun1+39)</f>
        <v>44994</v>
      </c>
      <c r="T28" s="74">
        <f>IF(DAY(FebSun1)=1,FebSun1+33,FebSun1+40)</f>
        <v>44995</v>
      </c>
      <c r="U28" s="74">
        <f>IF(DAY(FebSun1)=1,FebSun1+34,FebSun1+41)</f>
        <v>44996</v>
      </c>
      <c r="V28" s="74">
        <f>IF(DAY(FebSun1)=1,FebSun1+35,FebSun1+42)</f>
        <v>44997</v>
      </c>
      <c r="W28" s="4"/>
    </row>
    <row r="29" spans="1:23" outlineLevel="1">
      <c r="A29" s="4"/>
      <c r="B29" s="4"/>
      <c r="C29" s="294"/>
      <c r="D29" s="290"/>
      <c r="E29" s="293"/>
      <c r="F29" s="8"/>
      <c r="G29" s="294"/>
      <c r="H29" s="290"/>
      <c r="I29" s="293"/>
      <c r="J29" s="8"/>
      <c r="K29" s="297"/>
      <c r="L29" s="298"/>
      <c r="M29" s="299"/>
      <c r="N29" s="8"/>
      <c r="O29" s="4"/>
      <c r="P29" s="4"/>
      <c r="Q29" s="4"/>
      <c r="R29" s="4"/>
      <c r="S29" s="4"/>
      <c r="T29" s="4"/>
      <c r="U29" s="4"/>
      <c r="V29" s="4"/>
      <c r="W29" s="4"/>
    </row>
    <row r="30" spans="1:23" outlineLevel="1">
      <c r="A30" s="4"/>
      <c r="B30" s="4"/>
      <c r="C30" s="294" t="s">
        <v>1901</v>
      </c>
      <c r="D30" s="290">
        <v>12</v>
      </c>
      <c r="E30" s="291" t="s">
        <v>1920</v>
      </c>
      <c r="F30" s="8"/>
      <c r="G30" s="294" t="s">
        <v>1901</v>
      </c>
      <c r="H30" s="290"/>
      <c r="I30" s="291"/>
      <c r="J30" s="8"/>
      <c r="K30" s="294" t="s">
        <v>1901</v>
      </c>
      <c r="L30" s="295">
        <v>2</v>
      </c>
      <c r="M30" s="296" t="s">
        <v>1908</v>
      </c>
      <c r="N30" s="8"/>
      <c r="O30" s="4"/>
      <c r="P30" s="4"/>
      <c r="Q30" s="4"/>
      <c r="R30" s="4"/>
      <c r="S30" s="4"/>
      <c r="T30" s="4"/>
      <c r="U30" s="4"/>
      <c r="V30" s="4"/>
      <c r="W30" s="4"/>
    </row>
    <row r="31" spans="1:23" outlineLevel="1">
      <c r="A31" s="4"/>
      <c r="B31" s="4"/>
      <c r="C31" s="294"/>
      <c r="D31" s="290">
        <v>19</v>
      </c>
      <c r="E31" s="291" t="s">
        <v>1921</v>
      </c>
      <c r="F31" s="8"/>
      <c r="G31" s="294"/>
      <c r="H31" s="290"/>
      <c r="I31" s="291"/>
      <c r="J31" s="8"/>
      <c r="K31" s="294"/>
      <c r="L31" s="295"/>
      <c r="M31" s="296"/>
      <c r="N31" s="8"/>
      <c r="O31" s="4"/>
      <c r="P31" s="4"/>
      <c r="Q31" s="4"/>
      <c r="R31" s="4"/>
      <c r="S31" s="4"/>
      <c r="T31" s="4"/>
      <c r="U31" s="4"/>
      <c r="V31" s="4"/>
      <c r="W31" s="4"/>
    </row>
    <row r="32" spans="1:23" outlineLevel="1">
      <c r="A32" s="4"/>
      <c r="B32" s="4"/>
      <c r="C32" s="294"/>
      <c r="D32" s="290"/>
      <c r="E32" s="291"/>
      <c r="F32" s="8"/>
      <c r="G32" s="294"/>
      <c r="H32" s="290"/>
      <c r="I32" s="291"/>
      <c r="J32" s="8"/>
      <c r="K32" s="294"/>
      <c r="L32" s="295"/>
      <c r="M32" s="296"/>
      <c r="N32" s="8"/>
      <c r="O32" s="4"/>
      <c r="P32" s="4"/>
      <c r="Q32" s="4"/>
      <c r="R32" s="4"/>
      <c r="S32" s="4"/>
      <c r="T32" s="4"/>
      <c r="U32" s="4"/>
      <c r="V32" s="4"/>
      <c r="W32" s="4"/>
    </row>
    <row r="33" spans="1:23" outlineLevel="1">
      <c r="A33" s="4"/>
      <c r="B33" s="4"/>
      <c r="C33" s="294"/>
      <c r="D33" s="290"/>
      <c r="E33" s="291"/>
      <c r="F33" s="8"/>
      <c r="G33" s="294"/>
      <c r="H33" s="290"/>
      <c r="I33" s="291"/>
      <c r="J33" s="8"/>
      <c r="K33" s="294"/>
      <c r="L33" s="295"/>
      <c r="M33" s="296"/>
      <c r="N33" s="8"/>
      <c r="O33" s="4"/>
      <c r="P33" s="4"/>
      <c r="Q33" s="4"/>
      <c r="R33" s="4"/>
      <c r="S33" s="4"/>
      <c r="T33" s="4"/>
      <c r="U33" s="4"/>
      <c r="V33" s="4"/>
      <c r="W33" s="4"/>
    </row>
    <row r="34" spans="1:23" outlineLevel="1">
      <c r="A34" s="4"/>
      <c r="B34" s="4"/>
      <c r="C34" s="294"/>
      <c r="D34" s="290"/>
      <c r="E34" s="291"/>
      <c r="F34" s="8"/>
      <c r="G34" s="294"/>
      <c r="H34" s="290"/>
      <c r="I34" s="291"/>
      <c r="J34" s="8"/>
      <c r="K34" s="294"/>
      <c r="L34" s="295"/>
      <c r="M34" s="296"/>
      <c r="N34" s="8"/>
      <c r="O34" s="8"/>
      <c r="P34" s="8"/>
      <c r="Q34" s="8"/>
      <c r="R34" s="8"/>
      <c r="S34" s="8"/>
      <c r="T34" s="8"/>
      <c r="U34" s="8"/>
      <c r="V34" s="8"/>
      <c r="W34" s="4"/>
    </row>
    <row r="35" spans="1:23" ht="21" outlineLevel="1">
      <c r="A35" s="4"/>
      <c r="B35" s="4"/>
      <c r="C35" s="294"/>
      <c r="D35" s="290"/>
      <c r="E35" s="293"/>
      <c r="F35" s="8"/>
      <c r="G35" s="294"/>
      <c r="H35" s="290"/>
      <c r="I35" s="293"/>
      <c r="J35" s="8"/>
      <c r="K35" s="297"/>
      <c r="L35" s="298"/>
      <c r="M35" s="299"/>
      <c r="N35" s="8"/>
      <c r="O35" s="304" t="s">
        <v>1922</v>
      </c>
      <c r="P35" s="303" t="s">
        <v>1898</v>
      </c>
      <c r="Q35" s="303" t="s">
        <v>1899</v>
      </c>
      <c r="R35" s="303" t="s">
        <v>1900</v>
      </c>
      <c r="S35" s="303" t="s">
        <v>1901</v>
      </c>
      <c r="T35" s="303" t="s">
        <v>1902</v>
      </c>
      <c r="U35" s="303" t="s">
        <v>1903</v>
      </c>
      <c r="V35" s="303" t="s">
        <v>1904</v>
      </c>
      <c r="W35" s="4"/>
    </row>
    <row r="36" spans="1:23" ht="15.6" outlineLevel="1">
      <c r="A36" s="4"/>
      <c r="B36" s="4"/>
      <c r="C36" s="294" t="s">
        <v>1902</v>
      </c>
      <c r="D36" s="290">
        <v>13</v>
      </c>
      <c r="E36" s="291" t="s">
        <v>1923</v>
      </c>
      <c r="F36" s="8"/>
      <c r="G36" s="294" t="s">
        <v>1902</v>
      </c>
      <c r="H36" s="290"/>
      <c r="I36" s="291"/>
      <c r="J36" s="8"/>
      <c r="K36" s="294" t="s">
        <v>1902</v>
      </c>
      <c r="L36" s="295">
        <v>31</v>
      </c>
      <c r="M36" s="296" t="s">
        <v>1924</v>
      </c>
      <c r="N36" s="8"/>
      <c r="O36" s="54"/>
      <c r="P36" s="77">
        <f>IF(DAY(MarSun1)=1,MarSun1-6,MarSun1+1)</f>
        <v>44984</v>
      </c>
      <c r="Q36" s="77">
        <f>IF(DAY(MarSun1)=1,MarSun1-5,MarSun1+2)</f>
        <v>44985</v>
      </c>
      <c r="R36" s="77">
        <f>IF(DAY(MarSun1)=1,MarSun1-4,MarSun1+3)</f>
        <v>44986</v>
      </c>
      <c r="S36" s="77">
        <f>IF(DAY(MarSun1)=1,MarSun1-3,MarSun1+4)</f>
        <v>44987</v>
      </c>
      <c r="T36" s="77">
        <f>IF(DAY(MarSun1)=1,MarSun1-2,MarSun1+5)</f>
        <v>44988</v>
      </c>
      <c r="U36" s="77">
        <f>IF(DAY(MarSun1)=1,MarSun1-1,MarSun1+6)</f>
        <v>44989</v>
      </c>
      <c r="V36" s="77">
        <f>IF(DAY(MarSun1)=1,MarSun1,MarSun1+7)</f>
        <v>44990</v>
      </c>
      <c r="W36" s="4"/>
    </row>
    <row r="37" spans="1:23" ht="15.6" outlineLevel="1">
      <c r="A37" s="4"/>
      <c r="B37" s="4"/>
      <c r="C37" s="294"/>
      <c r="D37" s="290"/>
      <c r="E37" s="291"/>
      <c r="F37" s="8"/>
      <c r="G37" s="294"/>
      <c r="H37" s="290"/>
      <c r="I37" s="291"/>
      <c r="J37" s="8"/>
      <c r="K37" s="294"/>
      <c r="L37" s="295"/>
      <c r="M37" s="296"/>
      <c r="N37" s="8"/>
      <c r="O37" s="54"/>
      <c r="P37" s="77">
        <f>IF(DAY(MarSun1)=1,MarSun1+1,MarSun1+8)</f>
        <v>44991</v>
      </c>
      <c r="Q37" s="77">
        <f>IF(DAY(MarSun1)=1,MarSun1+2,MarSun1+9)</f>
        <v>44992</v>
      </c>
      <c r="R37" s="77">
        <f>IF(DAY(MarSun1)=1,MarSun1+3,MarSun1+10)</f>
        <v>44993</v>
      </c>
      <c r="S37" s="77">
        <f>IF(DAY(MarSun1)=1,MarSun1+4,MarSun1+11)</f>
        <v>44994</v>
      </c>
      <c r="T37" s="77">
        <f>IF(DAY(MarSun1)=1,MarSun1+5,MarSun1+12)</f>
        <v>44995</v>
      </c>
      <c r="U37" s="77">
        <f>IF(DAY(MarSun1)=1,MarSun1+6,MarSun1+13)</f>
        <v>44996</v>
      </c>
      <c r="V37" s="77">
        <f>IF(DAY(MarSun1)=1,MarSun1+7,MarSun1+14)</f>
        <v>44997</v>
      </c>
      <c r="W37" s="4"/>
    </row>
    <row r="38" spans="1:23" ht="15.6" outlineLevel="1">
      <c r="A38" s="4"/>
      <c r="B38" s="4"/>
      <c r="C38" s="294"/>
      <c r="D38" s="290"/>
      <c r="E38" s="291"/>
      <c r="F38" s="8"/>
      <c r="G38" s="294"/>
      <c r="H38" s="290"/>
      <c r="I38" s="291"/>
      <c r="J38" s="8"/>
      <c r="K38" s="294"/>
      <c r="L38" s="295"/>
      <c r="M38" s="296"/>
      <c r="N38" s="8"/>
      <c r="O38" s="54"/>
      <c r="P38" s="77">
        <f>IF(DAY(MarSun1)=1,MarSun1+8,MarSun1+15)</f>
        <v>44998</v>
      </c>
      <c r="Q38" s="77">
        <f>IF(DAY(MarSun1)=1,MarSun1+9,MarSun1+16)</f>
        <v>44999</v>
      </c>
      <c r="R38" s="77">
        <f>IF(DAY(MarSun1)=1,MarSun1+10,MarSun1+17)</f>
        <v>45000</v>
      </c>
      <c r="S38" s="77">
        <f>IF(DAY(MarSun1)=1,MarSun1+11,MarSun1+18)</f>
        <v>45001</v>
      </c>
      <c r="T38" s="77">
        <f>IF(DAY(MarSun1)=1,MarSun1+12,MarSun1+19)</f>
        <v>45002</v>
      </c>
      <c r="U38" s="77">
        <f>IF(DAY(MarSun1)=1,MarSun1+13,MarSun1+20)</f>
        <v>45003</v>
      </c>
      <c r="V38" s="77">
        <f>IF(DAY(MarSun1)=1,MarSun1+14,MarSun1+21)</f>
        <v>45004</v>
      </c>
      <c r="W38" s="4"/>
    </row>
    <row r="39" spans="1:23" ht="15.6" outlineLevel="1">
      <c r="A39" s="4"/>
      <c r="B39" s="4"/>
      <c r="C39" s="294"/>
      <c r="D39" s="290"/>
      <c r="E39" s="291"/>
      <c r="F39" s="8"/>
      <c r="G39" s="294"/>
      <c r="H39" s="290"/>
      <c r="I39" s="291"/>
      <c r="J39" s="8"/>
      <c r="K39" s="294"/>
      <c r="L39" s="295"/>
      <c r="M39" s="296"/>
      <c r="N39" s="8"/>
      <c r="O39" s="54"/>
      <c r="P39" s="77">
        <f>IF(DAY(MarSun1)=1,MarSun1+15,MarSun1+22)</f>
        <v>45005</v>
      </c>
      <c r="Q39" s="77">
        <f>IF(DAY(MarSun1)=1,MarSun1+16,MarSun1+23)</f>
        <v>45006</v>
      </c>
      <c r="R39" s="77">
        <f>IF(DAY(MarSun1)=1,MarSun1+17,MarSun1+24)</f>
        <v>45007</v>
      </c>
      <c r="S39" s="77">
        <f>IF(DAY(MarSun1)=1,MarSun1+18,MarSun1+25)</f>
        <v>45008</v>
      </c>
      <c r="T39" s="77">
        <f>IF(DAY(MarSun1)=1,MarSun1+19,MarSun1+26)</f>
        <v>45009</v>
      </c>
      <c r="U39" s="77">
        <f>IF(DAY(MarSun1)=1,MarSun1+20,MarSun1+27)</f>
        <v>45010</v>
      </c>
      <c r="V39" s="77">
        <f>IF(DAY(MarSun1)=1,MarSun1+21,MarSun1+28)</f>
        <v>45011</v>
      </c>
      <c r="W39" s="4"/>
    </row>
    <row r="40" spans="1:23" ht="15.6" outlineLevel="1">
      <c r="A40" s="4"/>
      <c r="B40" s="4"/>
      <c r="C40" s="294"/>
      <c r="D40" s="290"/>
      <c r="E40" s="291"/>
      <c r="F40" s="8"/>
      <c r="G40" s="294"/>
      <c r="H40" s="290"/>
      <c r="I40" s="291"/>
      <c r="J40" s="8"/>
      <c r="K40" s="294"/>
      <c r="L40" s="295"/>
      <c r="M40" s="296"/>
      <c r="N40" s="8"/>
      <c r="O40" s="54"/>
      <c r="P40" s="77">
        <f>IF(DAY(MarSun1)=1,MarSun1+22,MarSun1+29)</f>
        <v>45012</v>
      </c>
      <c r="Q40" s="77">
        <f>IF(DAY(MarSun1)=1,MarSun1+23,MarSun1+30)</f>
        <v>45013</v>
      </c>
      <c r="R40" s="77">
        <f>IF(DAY(MarSun1)=1,MarSun1+24,MarSun1+31)</f>
        <v>45014</v>
      </c>
      <c r="S40" s="77">
        <f>IF(DAY(MarSun1)=1,MarSun1+25,MarSun1+32)</f>
        <v>45015</v>
      </c>
      <c r="T40" s="77">
        <f>IF(DAY(MarSun1)=1,MarSun1+26,MarSun1+33)</f>
        <v>45016</v>
      </c>
      <c r="U40" s="77">
        <f>IF(DAY(MarSun1)=1,MarSun1+27,MarSun1+34)</f>
        <v>45017</v>
      </c>
      <c r="V40" s="77">
        <f>IF(DAY(MarSun1)=1,MarSun1+28,MarSun1+35)</f>
        <v>45018</v>
      </c>
      <c r="W40" s="4"/>
    </row>
    <row r="41" spans="1:23" ht="15.6" outlineLevel="1">
      <c r="A41" s="4"/>
      <c r="B41" s="4"/>
      <c r="C41" s="294"/>
      <c r="D41" s="290"/>
      <c r="E41" s="291"/>
      <c r="F41" s="8"/>
      <c r="G41" s="294"/>
      <c r="H41" s="290"/>
      <c r="I41" s="291"/>
      <c r="J41" s="8"/>
      <c r="K41" s="294"/>
      <c r="L41" s="295"/>
      <c r="M41" s="300"/>
      <c r="N41" s="8"/>
      <c r="O41" s="75"/>
      <c r="P41" s="77">
        <f>IF(DAY(MarSun1)=1,MarSun1+29,MarSun1+36)</f>
        <v>45019</v>
      </c>
      <c r="Q41" s="77">
        <f>IF(DAY(MarSun1)=1,MarSun1+30,MarSun1+37)</f>
        <v>45020</v>
      </c>
      <c r="R41" s="77">
        <f>IF(DAY(MarSun1)=1,MarSun1+31,MarSun1+38)</f>
        <v>45021</v>
      </c>
      <c r="S41" s="77">
        <f>IF(DAY(MarSun1)=1,MarSun1+32,MarSun1+39)</f>
        <v>45022</v>
      </c>
      <c r="T41" s="77">
        <f>IF(DAY(MarSun1)=1,MarSun1+33,MarSun1+40)</f>
        <v>45023</v>
      </c>
      <c r="U41" s="77">
        <f>IF(DAY(MarSun1)=1,MarSun1+34,MarSun1+41)</f>
        <v>45024</v>
      </c>
      <c r="V41" s="77">
        <f>IF(DAY(MarSun1)=1,MarSun1+35,MarSun1+42)</f>
        <v>45025</v>
      </c>
      <c r="W41" s="4"/>
    </row>
    <row r="42" spans="1:23" outlineLevel="1">
      <c r="A42" s="4"/>
      <c r="B42" s="4"/>
      <c r="C42" s="4"/>
      <c r="D42" s="4"/>
      <c r="E42" s="4"/>
      <c r="F42" s="4"/>
      <c r="G42" s="4"/>
      <c r="H42" s="4"/>
      <c r="I42" s="4"/>
      <c r="J42" s="4"/>
      <c r="K42" s="4"/>
      <c r="L42" s="4"/>
      <c r="M42" s="4"/>
      <c r="N42" s="4"/>
      <c r="O42" s="4"/>
      <c r="P42" s="4"/>
      <c r="Q42" s="4"/>
      <c r="R42" s="4"/>
      <c r="S42" s="4"/>
      <c r="T42" s="4"/>
      <c r="U42" s="4"/>
      <c r="V42" s="4"/>
      <c r="W42" s="4"/>
    </row>
    <row r="43" spans="1:23" ht="21">
      <c r="A43" s="4"/>
      <c r="B43" s="4"/>
      <c r="C43" s="712" t="s">
        <v>1925</v>
      </c>
      <c r="D43" s="712"/>
      <c r="E43" s="712"/>
      <c r="F43" s="712"/>
      <c r="G43" s="712"/>
      <c r="H43" s="712"/>
      <c r="I43" s="712"/>
      <c r="J43" s="712"/>
      <c r="K43" s="712"/>
      <c r="L43" s="712"/>
      <c r="M43" s="712"/>
      <c r="N43" s="712"/>
      <c r="O43" s="712"/>
      <c r="P43" s="712"/>
      <c r="Q43" s="712"/>
      <c r="R43" s="712"/>
      <c r="S43" s="712"/>
      <c r="T43" s="712"/>
      <c r="U43" s="712"/>
      <c r="V43" s="712"/>
      <c r="W43" s="4"/>
    </row>
    <row r="44" spans="1:23" ht="21" hidden="1" outlineLevel="1">
      <c r="A44" s="4"/>
      <c r="B44" s="4"/>
      <c r="C44" s="73"/>
      <c r="D44" s="72"/>
      <c r="E44" s="55"/>
      <c r="F44" s="8"/>
      <c r="G44" s="8"/>
      <c r="H44" s="8"/>
      <c r="I44" s="8"/>
      <c r="J44" s="8"/>
      <c r="K44" s="8"/>
      <c r="L44" s="8"/>
      <c r="M44" s="8"/>
      <c r="N44" s="8"/>
      <c r="O44" s="8"/>
      <c r="P44" s="8"/>
      <c r="Q44" s="8"/>
      <c r="R44" s="8"/>
      <c r="S44" s="8"/>
      <c r="T44" s="8"/>
      <c r="U44" s="8"/>
      <c r="V44" s="8"/>
      <c r="W44" s="4"/>
    </row>
    <row r="45" spans="1:23" ht="21" hidden="1" outlineLevel="1">
      <c r="A45" s="4"/>
      <c r="B45" s="4"/>
      <c r="C45" s="710" t="s">
        <v>1926</v>
      </c>
      <c r="D45" s="710"/>
      <c r="E45" s="710"/>
      <c r="F45" s="55"/>
      <c r="G45" s="711" t="s">
        <v>1927</v>
      </c>
      <c r="H45" s="711"/>
      <c r="I45" s="711"/>
      <c r="J45" s="55"/>
      <c r="K45" s="711" t="s">
        <v>1928</v>
      </c>
      <c r="L45" s="711"/>
      <c r="M45" s="711"/>
      <c r="N45" s="8"/>
      <c r="O45" s="304" t="s">
        <v>1929</v>
      </c>
      <c r="P45" s="301" t="s">
        <v>1898</v>
      </c>
      <c r="Q45" s="301" t="s">
        <v>1899</v>
      </c>
      <c r="R45" s="301" t="s">
        <v>1900</v>
      </c>
      <c r="S45" s="301" t="s">
        <v>1901</v>
      </c>
      <c r="T45" s="301" t="s">
        <v>1902</v>
      </c>
      <c r="U45" s="301" t="s">
        <v>1903</v>
      </c>
      <c r="V45" s="301" t="s">
        <v>1904</v>
      </c>
      <c r="W45" s="4"/>
    </row>
    <row r="46" spans="1:23" hidden="1" outlineLevel="1">
      <c r="A46" s="4"/>
      <c r="B46" s="4"/>
      <c r="C46" s="289" t="s">
        <v>1905</v>
      </c>
      <c r="D46" s="289" t="s">
        <v>1906</v>
      </c>
      <c r="E46" s="289" t="s">
        <v>1907</v>
      </c>
      <c r="F46" s="55"/>
      <c r="G46" s="289" t="s">
        <v>1905</v>
      </c>
      <c r="H46" s="289" t="s">
        <v>1906</v>
      </c>
      <c r="I46" s="289" t="s">
        <v>1907</v>
      </c>
      <c r="J46" s="55"/>
      <c r="K46" s="289" t="s">
        <v>1905</v>
      </c>
      <c r="L46" s="289" t="s">
        <v>1906</v>
      </c>
      <c r="M46" s="289" t="s">
        <v>1907</v>
      </c>
      <c r="N46" s="8"/>
      <c r="O46" s="54"/>
      <c r="P46" s="74">
        <f>IF(DAY(AprSun1)=1,AprSun1-6,AprSun1+1)</f>
        <v>45012</v>
      </c>
      <c r="Q46" s="74">
        <f>IF(DAY(AprSun1)=1,AprSun1-5,AprSun1+2)</f>
        <v>45013</v>
      </c>
      <c r="R46" s="74">
        <f>IF(DAY(AprSun1)=1,AprSun1-4,AprSun1+3)</f>
        <v>45014</v>
      </c>
      <c r="S46" s="74">
        <f>IF(DAY(AprSun1)=1,AprSun1-3,AprSun1+4)</f>
        <v>45015</v>
      </c>
      <c r="T46" s="74">
        <f>IF(DAY(AprSun1)=1,AprSun1-2,AprSun1+5)</f>
        <v>45016</v>
      </c>
      <c r="U46" s="74">
        <f>IF(DAY(AprSun1)=1,AprSun1-1,AprSun1+6)</f>
        <v>45017</v>
      </c>
      <c r="V46" s="74">
        <f>IF(DAY(AprSun1)=1,AprSun1,AprSun1+7)</f>
        <v>45018</v>
      </c>
      <c r="W46" s="4"/>
    </row>
    <row r="47" spans="1:23" ht="29.1" hidden="1" outlineLevel="1">
      <c r="A47" s="4"/>
      <c r="B47" s="4"/>
      <c r="C47" s="294" t="s">
        <v>1898</v>
      </c>
      <c r="D47" s="290">
        <v>3</v>
      </c>
      <c r="E47" s="291" t="s">
        <v>1908</v>
      </c>
      <c r="F47" s="8"/>
      <c r="G47" s="294" t="s">
        <v>1898</v>
      </c>
      <c r="H47" s="290">
        <v>8</v>
      </c>
      <c r="I47" s="291" t="s">
        <v>1909</v>
      </c>
      <c r="J47" s="8"/>
      <c r="K47" s="294" t="s">
        <v>1898</v>
      </c>
      <c r="L47" s="295">
        <v>13</v>
      </c>
      <c r="M47" s="296" t="s">
        <v>1910</v>
      </c>
      <c r="N47" s="8"/>
      <c r="O47" s="54"/>
      <c r="P47" s="74">
        <f>IF(DAY(AprSun1)=1,AprSun1+1,AprSun1+8)</f>
        <v>45019</v>
      </c>
      <c r="Q47" s="74">
        <f>IF(DAY(AprSun1)=1,AprSun1+2,AprSun1+9)</f>
        <v>45020</v>
      </c>
      <c r="R47" s="74">
        <f>IF(DAY(AprSun1)=1,AprSun1+3,AprSun1+10)</f>
        <v>45021</v>
      </c>
      <c r="S47" s="74">
        <f>IF(DAY(AprSun1)=1,AprSun1+4,AprSun1+11)</f>
        <v>45022</v>
      </c>
      <c r="T47" s="74">
        <f>IF(DAY(AprSun1)=1,AprSun1+5,AprSun1+12)</f>
        <v>45023</v>
      </c>
      <c r="U47" s="74">
        <f>IF(DAY(AprSun1)=1,AprSun1+6,AprSun1+13)</f>
        <v>45024</v>
      </c>
      <c r="V47" s="74">
        <f>IF(DAY(AprSun1)=1,AprSun1+7,AprSun1+14)</f>
        <v>45025</v>
      </c>
      <c r="W47" s="4"/>
    </row>
    <row r="48" spans="1:23" hidden="1" outlineLevel="1">
      <c r="A48" s="4"/>
      <c r="B48" s="4"/>
      <c r="C48" s="294"/>
      <c r="D48" s="290">
        <v>10</v>
      </c>
      <c r="E48" s="291" t="s">
        <v>1911</v>
      </c>
      <c r="F48" s="8"/>
      <c r="G48" s="294"/>
      <c r="H48" s="290"/>
      <c r="I48" s="291"/>
      <c r="J48" s="8"/>
      <c r="K48" s="294"/>
      <c r="L48" s="295"/>
      <c r="M48" s="296"/>
      <c r="N48" s="8"/>
      <c r="O48" s="54"/>
      <c r="P48" s="74">
        <f>IF(DAY(AprSun1)=1,AprSun1+8,AprSun1+15)</f>
        <v>45026</v>
      </c>
      <c r="Q48" s="74">
        <f>IF(DAY(AprSun1)=1,AprSun1+9,AprSun1+16)</f>
        <v>45027</v>
      </c>
      <c r="R48" s="74">
        <f>IF(DAY(AprSun1)=1,AprSun1+10,AprSun1+17)</f>
        <v>45028</v>
      </c>
      <c r="S48" s="74">
        <f>IF(DAY(AprSun1)=1,AprSun1+11,AprSun1+18)</f>
        <v>45029</v>
      </c>
      <c r="T48" s="74">
        <f>IF(DAY(AprSun1)=1,AprSun1+12,AprSun1+19)</f>
        <v>45030</v>
      </c>
      <c r="U48" s="74">
        <f>IF(DAY(AprSun1)=1,AprSun1+13,AprSun1+20)</f>
        <v>45031</v>
      </c>
      <c r="V48" s="74">
        <f>IF(DAY(AprSun1)=1,AprSun1+14,AprSun1+21)</f>
        <v>45032</v>
      </c>
      <c r="W48" s="4"/>
    </row>
    <row r="49" spans="1:23" hidden="1" outlineLevel="1">
      <c r="A49" s="4"/>
      <c r="B49" s="4"/>
      <c r="C49" s="294"/>
      <c r="D49" s="290"/>
      <c r="E49" s="291"/>
      <c r="F49" s="8"/>
      <c r="G49" s="294"/>
      <c r="H49" s="290"/>
      <c r="I49" s="291"/>
      <c r="J49" s="8"/>
      <c r="K49" s="294"/>
      <c r="L49" s="295"/>
      <c r="M49" s="296"/>
      <c r="N49" s="8"/>
      <c r="O49" s="54"/>
      <c r="P49" s="74">
        <f>IF(DAY(AprSun1)=1,AprSun1+15,AprSun1+22)</f>
        <v>45033</v>
      </c>
      <c r="Q49" s="74">
        <f>IF(DAY(AprSun1)=1,AprSun1+16,AprSun1+23)</f>
        <v>45034</v>
      </c>
      <c r="R49" s="74">
        <f>IF(DAY(AprSun1)=1,AprSun1+17,AprSun1+24)</f>
        <v>45035</v>
      </c>
      <c r="S49" s="74">
        <f>IF(DAY(AprSun1)=1,AprSun1+18,AprSun1+25)</f>
        <v>45036</v>
      </c>
      <c r="T49" s="74">
        <f>IF(DAY(AprSun1)=1,AprSun1+19,AprSun1+26)</f>
        <v>45037</v>
      </c>
      <c r="U49" s="74">
        <f>IF(DAY(AprSun1)=1,AprSun1+20,AprSun1+27)</f>
        <v>45038</v>
      </c>
      <c r="V49" s="74">
        <f>IF(DAY(AprSun1)=1,AprSun1+21,AprSun1+28)</f>
        <v>45039</v>
      </c>
      <c r="W49" s="4"/>
    </row>
    <row r="50" spans="1:23" hidden="1" outlineLevel="1">
      <c r="A50" s="4"/>
      <c r="B50" s="4"/>
      <c r="C50" s="294"/>
      <c r="D50" s="290"/>
      <c r="E50" s="291"/>
      <c r="F50" s="8"/>
      <c r="G50" s="294"/>
      <c r="H50" s="290"/>
      <c r="I50" s="291"/>
      <c r="J50" s="8"/>
      <c r="K50" s="294"/>
      <c r="L50" s="295"/>
      <c r="M50" s="296"/>
      <c r="N50" s="8"/>
      <c r="O50" s="54"/>
      <c r="P50" s="74">
        <f>IF(DAY(AprSun1)=1,AprSun1+22,AprSun1+29)</f>
        <v>45040</v>
      </c>
      <c r="Q50" s="74">
        <f>IF(DAY(AprSun1)=1,AprSun1+23,AprSun1+30)</f>
        <v>45041</v>
      </c>
      <c r="R50" s="74">
        <f>IF(DAY(AprSun1)=1,AprSun1+24,AprSun1+31)</f>
        <v>45042</v>
      </c>
      <c r="S50" s="74">
        <f>IF(DAY(AprSun1)=1,AprSun1+25,AprSun1+32)</f>
        <v>45043</v>
      </c>
      <c r="T50" s="74">
        <f>IF(DAY(AprSun1)=1,AprSun1+26,AprSun1+33)</f>
        <v>45044</v>
      </c>
      <c r="U50" s="74">
        <f>IF(DAY(AprSun1)=1,AprSun1+27,AprSun1+34)</f>
        <v>45045</v>
      </c>
      <c r="V50" s="74">
        <f>IF(DAY(AprSun1)=1,AprSun1+28,AprSun1+35)</f>
        <v>45046</v>
      </c>
      <c r="W50" s="4"/>
    </row>
    <row r="51" spans="1:23" hidden="1" outlineLevel="1">
      <c r="A51" s="4"/>
      <c r="B51" s="4"/>
      <c r="C51" s="294"/>
      <c r="D51" s="290"/>
      <c r="E51" s="291"/>
      <c r="F51" s="8"/>
      <c r="G51" s="294"/>
      <c r="H51" s="290"/>
      <c r="I51" s="291"/>
      <c r="J51" s="8"/>
      <c r="K51" s="294"/>
      <c r="L51" s="295"/>
      <c r="M51" s="296"/>
      <c r="N51" s="8"/>
      <c r="O51" s="75"/>
      <c r="P51" s="76">
        <f>IF(DAY(AprSun1)=1,AprSun1+29,AprSun1+36)</f>
        <v>45047</v>
      </c>
      <c r="Q51" s="76">
        <f>IF(DAY(AprSun1)=1,AprSun1+30,AprSun1+37)</f>
        <v>45048</v>
      </c>
      <c r="R51" s="76">
        <f>IF(DAY(AprSun1)=1,AprSun1+31,AprSun1+38)</f>
        <v>45049</v>
      </c>
      <c r="S51" s="76">
        <f>IF(DAY(AprSun1)=1,AprSun1+32,AprSun1+39)</f>
        <v>45050</v>
      </c>
      <c r="T51" s="76">
        <f>IF(DAY(AprSun1)=1,AprSun1+33,AprSun1+40)</f>
        <v>45051</v>
      </c>
      <c r="U51" s="76">
        <f>IF(DAY(AprSun1)=1,AprSun1+34,AprSun1+41)</f>
        <v>45052</v>
      </c>
      <c r="V51" s="76">
        <f>IF(DAY(AprSun1)=1,AprSun1+35,AprSun1+42)</f>
        <v>45053</v>
      </c>
      <c r="W51" s="4"/>
    </row>
    <row r="52" spans="1:23" hidden="1" outlineLevel="1">
      <c r="A52" s="4"/>
      <c r="B52" s="4"/>
      <c r="C52" s="294"/>
      <c r="D52" s="290"/>
      <c r="E52" s="292"/>
      <c r="F52" s="8"/>
      <c r="G52" s="294"/>
      <c r="H52" s="290"/>
      <c r="I52" s="293"/>
      <c r="J52" s="8"/>
      <c r="K52" s="297"/>
      <c r="L52" s="298"/>
      <c r="M52" s="299"/>
      <c r="N52" s="8"/>
      <c r="O52" s="4"/>
      <c r="P52" s="4"/>
      <c r="Q52" s="4"/>
      <c r="R52" s="4"/>
      <c r="S52" s="4"/>
      <c r="T52" s="4"/>
      <c r="U52" s="4"/>
      <c r="V52" s="4"/>
      <c r="W52" s="4"/>
    </row>
    <row r="53" spans="1:23" hidden="1" outlineLevel="1">
      <c r="A53" s="4"/>
      <c r="B53" s="4"/>
      <c r="C53" s="294" t="s">
        <v>1899</v>
      </c>
      <c r="D53" s="290">
        <v>18</v>
      </c>
      <c r="E53" s="291" t="s">
        <v>1916</v>
      </c>
      <c r="F53" s="8"/>
      <c r="G53" s="294" t="s">
        <v>1899</v>
      </c>
      <c r="H53" s="290">
        <v>2</v>
      </c>
      <c r="I53" s="291" t="s">
        <v>1908</v>
      </c>
      <c r="J53" s="8"/>
      <c r="K53" s="294" t="s">
        <v>1899</v>
      </c>
      <c r="L53" s="295"/>
      <c r="M53" s="296"/>
      <c r="N53" s="8"/>
      <c r="O53" s="8"/>
      <c r="P53" s="8"/>
      <c r="Q53" s="8"/>
      <c r="R53" s="8"/>
      <c r="S53" s="8"/>
      <c r="T53" s="8"/>
      <c r="U53" s="8"/>
      <c r="V53" s="8"/>
      <c r="W53" s="4"/>
    </row>
    <row r="54" spans="1:23" hidden="1" outlineLevel="1">
      <c r="A54" s="4"/>
      <c r="B54" s="4"/>
      <c r="C54" s="294"/>
      <c r="D54" s="290">
        <v>25</v>
      </c>
      <c r="E54" s="291" t="s">
        <v>1930</v>
      </c>
      <c r="F54" s="8"/>
      <c r="G54" s="294"/>
      <c r="H54" s="290"/>
      <c r="I54" s="291"/>
      <c r="J54" s="8"/>
      <c r="K54" s="294"/>
      <c r="L54" s="295"/>
      <c r="M54" s="296"/>
      <c r="N54" s="8"/>
      <c r="O54" s="4"/>
      <c r="P54" s="4"/>
      <c r="Q54" s="4"/>
      <c r="R54" s="4"/>
      <c r="S54" s="4"/>
      <c r="T54" s="4"/>
      <c r="U54" s="4"/>
      <c r="V54" s="4"/>
      <c r="W54" s="4"/>
    </row>
    <row r="55" spans="1:23" hidden="1" outlineLevel="1">
      <c r="A55" s="4"/>
      <c r="B55" s="4"/>
      <c r="C55" s="294"/>
      <c r="D55" s="290"/>
      <c r="E55" s="291"/>
      <c r="F55" s="8"/>
      <c r="G55" s="294"/>
      <c r="H55" s="290"/>
      <c r="I55" s="291"/>
      <c r="J55" s="8"/>
      <c r="K55" s="294"/>
      <c r="L55" s="295"/>
      <c r="M55" s="296"/>
      <c r="N55" s="8"/>
      <c r="O55" s="4"/>
      <c r="P55" s="4"/>
      <c r="Q55" s="4"/>
      <c r="R55" s="4"/>
      <c r="S55" s="4"/>
      <c r="T55" s="4"/>
      <c r="U55" s="4"/>
      <c r="V55" s="4"/>
      <c r="W55" s="4"/>
    </row>
    <row r="56" spans="1:23" hidden="1" outlineLevel="1">
      <c r="A56" s="4"/>
      <c r="B56" s="4"/>
      <c r="C56" s="294"/>
      <c r="D56" s="290"/>
      <c r="E56" s="291"/>
      <c r="F56" s="8"/>
      <c r="G56" s="294"/>
      <c r="H56" s="290"/>
      <c r="I56" s="291"/>
      <c r="J56" s="8"/>
      <c r="K56" s="294"/>
      <c r="L56" s="295"/>
      <c r="M56" s="296"/>
      <c r="N56" s="8"/>
      <c r="O56" s="4"/>
      <c r="P56" s="4"/>
      <c r="Q56" s="4"/>
      <c r="R56" s="4"/>
      <c r="S56" s="4"/>
      <c r="T56" s="4"/>
      <c r="U56" s="4"/>
      <c r="V56" s="4"/>
      <c r="W56" s="4"/>
    </row>
    <row r="57" spans="1:23" ht="21" hidden="1" outlineLevel="1">
      <c r="A57" s="4"/>
      <c r="B57" s="4"/>
      <c r="C57" s="294"/>
      <c r="D57" s="290"/>
      <c r="E57" s="291"/>
      <c r="F57" s="8"/>
      <c r="G57" s="294"/>
      <c r="H57" s="290"/>
      <c r="I57" s="291"/>
      <c r="J57" s="8"/>
      <c r="K57" s="294"/>
      <c r="L57" s="295"/>
      <c r="M57" s="296"/>
      <c r="N57" s="8"/>
      <c r="O57" s="305" t="s">
        <v>1931</v>
      </c>
      <c r="P57" s="302" t="s">
        <v>1898</v>
      </c>
      <c r="Q57" s="302" t="s">
        <v>1899</v>
      </c>
      <c r="R57" s="302" t="s">
        <v>1900</v>
      </c>
      <c r="S57" s="302" t="s">
        <v>1901</v>
      </c>
      <c r="T57" s="302" t="s">
        <v>1902</v>
      </c>
      <c r="U57" s="302" t="s">
        <v>1903</v>
      </c>
      <c r="V57" s="302" t="s">
        <v>1904</v>
      </c>
      <c r="W57" s="4"/>
    </row>
    <row r="58" spans="1:23" hidden="1" outlineLevel="1">
      <c r="A58" s="4"/>
      <c r="B58" s="4"/>
      <c r="C58" s="294"/>
      <c r="D58" s="290"/>
      <c r="E58" s="292"/>
      <c r="F58" s="8"/>
      <c r="G58" s="294"/>
      <c r="H58" s="290"/>
      <c r="I58" s="293"/>
      <c r="J58" s="8"/>
      <c r="K58" s="297"/>
      <c r="L58" s="298"/>
      <c r="M58" s="299"/>
      <c r="N58" s="8"/>
      <c r="O58" s="54"/>
      <c r="P58" s="74">
        <f>IF(DAY(MaySun1)=1,MaySun1-6,MaySun1+1)</f>
        <v>45047</v>
      </c>
      <c r="Q58" s="74">
        <f>IF(DAY(MaySun1)=1,MaySun1-5,MaySun1+2)</f>
        <v>45048</v>
      </c>
      <c r="R58" s="74">
        <f>IF(DAY(MaySun1)=1,MaySun1-4,MaySun1+3)</f>
        <v>45049</v>
      </c>
      <c r="S58" s="74">
        <f>IF(DAY(MaySun1)=1,MaySun1-3,MaySun1+4)</f>
        <v>45050</v>
      </c>
      <c r="T58" s="74">
        <f>IF(DAY(MaySun1)=1,MaySun1-2,MaySun1+5)</f>
        <v>45051</v>
      </c>
      <c r="U58" s="74">
        <f>IF(DAY(MaySun1)=1,MaySun1-1,MaySun1+6)</f>
        <v>45052</v>
      </c>
      <c r="V58" s="74">
        <f>IF(DAY(MaySun1)=1,MaySun1,MaySun1+7)</f>
        <v>45053</v>
      </c>
      <c r="W58" s="4"/>
    </row>
    <row r="59" spans="1:23" hidden="1" outlineLevel="1">
      <c r="A59" s="4"/>
      <c r="B59" s="4"/>
      <c r="C59" s="294" t="s">
        <v>1900</v>
      </c>
      <c r="D59" s="290">
        <v>26</v>
      </c>
      <c r="E59" s="291" t="s">
        <v>1918</v>
      </c>
      <c r="F59" s="8"/>
      <c r="G59" s="294" t="s">
        <v>1900</v>
      </c>
      <c r="H59" s="290">
        <v>10</v>
      </c>
      <c r="I59" s="291" t="s">
        <v>1932</v>
      </c>
      <c r="J59" s="8"/>
      <c r="K59" s="294" t="s">
        <v>1900</v>
      </c>
      <c r="L59" s="295">
        <v>14</v>
      </c>
      <c r="M59" s="296"/>
      <c r="N59" s="8"/>
      <c r="O59" s="54"/>
      <c r="P59" s="74">
        <f>IF(DAY(MaySun1)=1,MaySun1+1,MaySun1+8)</f>
        <v>45054</v>
      </c>
      <c r="Q59" s="74">
        <f>IF(DAY(MaySun1)=1,MaySun1+2,MaySun1+9)</f>
        <v>45055</v>
      </c>
      <c r="R59" s="74">
        <f>IF(DAY(MaySun1)=1,MaySun1+3,MaySun1+10)</f>
        <v>45056</v>
      </c>
      <c r="S59" s="74">
        <f>IF(DAY(MaySun1)=1,MaySun1+4,MaySun1+11)</f>
        <v>45057</v>
      </c>
      <c r="T59" s="74">
        <f>IF(DAY(MaySun1)=1,MaySun1+5,MaySun1+12)</f>
        <v>45058</v>
      </c>
      <c r="U59" s="74">
        <f>IF(DAY(MaySun1)=1,MaySun1+6,MaySun1+13)</f>
        <v>45059</v>
      </c>
      <c r="V59" s="74">
        <f>IF(DAY(MaySun1)=1,MaySun1+7,MaySun1+14)</f>
        <v>45060</v>
      </c>
      <c r="W59" s="4"/>
    </row>
    <row r="60" spans="1:23" hidden="1" outlineLevel="1">
      <c r="A60" s="4"/>
      <c r="B60" s="4"/>
      <c r="C60" s="294"/>
      <c r="D60" s="290"/>
      <c r="E60" s="291"/>
      <c r="F60" s="8"/>
      <c r="G60" s="294"/>
      <c r="H60" s="290"/>
      <c r="I60" s="291"/>
      <c r="J60" s="8"/>
      <c r="K60" s="294"/>
      <c r="L60" s="295"/>
      <c r="M60" s="296"/>
      <c r="N60" s="8"/>
      <c r="O60" s="54"/>
      <c r="P60" s="74">
        <f>IF(DAY(MaySun1)=1,MaySun1+8,MaySun1+15)</f>
        <v>45061</v>
      </c>
      <c r="Q60" s="74">
        <f>IF(DAY(MaySun1)=1,MaySun1+9,MaySun1+16)</f>
        <v>45062</v>
      </c>
      <c r="R60" s="74">
        <f>IF(DAY(MaySun1)=1,MaySun1+10,MaySun1+17)</f>
        <v>45063</v>
      </c>
      <c r="S60" s="74">
        <f>IF(DAY(MaySun1)=1,MaySun1+11,MaySun1+18)</f>
        <v>45064</v>
      </c>
      <c r="T60" s="74">
        <f>IF(DAY(MaySun1)=1,MaySun1+12,MaySun1+19)</f>
        <v>45065</v>
      </c>
      <c r="U60" s="74">
        <f>IF(DAY(MaySun1)=1,MaySun1+13,MaySun1+20)</f>
        <v>45066</v>
      </c>
      <c r="V60" s="74">
        <f>IF(DAY(MaySun1)=1,MaySun1+14,MaySun1+21)</f>
        <v>45067</v>
      </c>
      <c r="W60" s="4"/>
    </row>
    <row r="61" spans="1:23" hidden="1" outlineLevel="1">
      <c r="A61" s="4"/>
      <c r="B61" s="4"/>
      <c r="C61" s="294"/>
      <c r="D61" s="290"/>
      <c r="E61" s="291"/>
      <c r="F61" s="8"/>
      <c r="G61" s="294"/>
      <c r="H61" s="290"/>
      <c r="I61" s="291"/>
      <c r="J61" s="8"/>
      <c r="K61" s="294"/>
      <c r="L61" s="295"/>
      <c r="M61" s="296"/>
      <c r="N61" s="8"/>
      <c r="O61" s="54"/>
      <c r="P61" s="74">
        <f>IF(DAY(MaySun1)=1,MaySun1+15,MaySun1+22)</f>
        <v>45068</v>
      </c>
      <c r="Q61" s="74">
        <f>IF(DAY(MaySun1)=1,MaySun1+16,MaySun1+23)</f>
        <v>45069</v>
      </c>
      <c r="R61" s="74">
        <f>IF(DAY(MaySun1)=1,MaySun1+17,MaySun1+24)</f>
        <v>45070</v>
      </c>
      <c r="S61" s="74">
        <f>IF(DAY(MaySun1)=1,MaySun1+18,MaySun1+25)</f>
        <v>45071</v>
      </c>
      <c r="T61" s="74">
        <f>IF(DAY(MaySun1)=1,MaySun1+19,MaySun1+26)</f>
        <v>45072</v>
      </c>
      <c r="U61" s="74">
        <f>IF(DAY(MaySun1)=1,MaySun1+20,MaySun1+27)</f>
        <v>45073</v>
      </c>
      <c r="V61" s="74">
        <f>IF(DAY(MaySun1)=1,MaySun1+21,MaySun1+28)</f>
        <v>45074</v>
      </c>
      <c r="W61" s="4"/>
    </row>
    <row r="62" spans="1:23" hidden="1" outlineLevel="1">
      <c r="A62" s="4"/>
      <c r="B62" s="4"/>
      <c r="C62" s="294"/>
      <c r="D62" s="290"/>
      <c r="E62" s="291"/>
      <c r="F62" s="8"/>
      <c r="G62" s="294"/>
      <c r="H62" s="290"/>
      <c r="I62" s="291"/>
      <c r="J62" s="8"/>
      <c r="K62" s="294"/>
      <c r="L62" s="295"/>
      <c r="M62" s="296"/>
      <c r="N62" s="8"/>
      <c r="O62" s="54"/>
      <c r="P62" s="74">
        <f>IF(DAY(MaySun1)=1,MaySun1+22,MaySun1+29)</f>
        <v>45075</v>
      </c>
      <c r="Q62" s="74">
        <f>IF(DAY(MaySun1)=1,MaySun1+23,MaySun1+30)</f>
        <v>45076</v>
      </c>
      <c r="R62" s="74">
        <f>IF(DAY(MaySun1)=1,MaySun1+24,MaySun1+31)</f>
        <v>45077</v>
      </c>
      <c r="S62" s="74">
        <f>IF(DAY(MaySun1)=1,MaySun1+25,MaySun1+32)</f>
        <v>45078</v>
      </c>
      <c r="T62" s="74">
        <f>IF(DAY(MaySun1)=1,MaySun1+26,MaySun1+33)</f>
        <v>45079</v>
      </c>
      <c r="U62" s="74">
        <f>IF(DAY(MaySun1)=1,MaySun1+27,MaySun1+34)</f>
        <v>45080</v>
      </c>
      <c r="V62" s="74">
        <f>IF(DAY(MaySun1)=1,MaySun1+28,MaySun1+35)</f>
        <v>45081</v>
      </c>
      <c r="W62" s="4"/>
    </row>
    <row r="63" spans="1:23" hidden="1" outlineLevel="1">
      <c r="A63" s="4"/>
      <c r="B63" s="4"/>
      <c r="C63" s="294"/>
      <c r="D63" s="290"/>
      <c r="E63" s="291"/>
      <c r="F63" s="8"/>
      <c r="G63" s="294"/>
      <c r="H63" s="290"/>
      <c r="I63" s="291"/>
      <c r="J63" s="8"/>
      <c r="K63" s="294"/>
      <c r="L63" s="295"/>
      <c r="M63" s="296"/>
      <c r="N63" s="8"/>
      <c r="O63" s="75"/>
      <c r="P63" s="74">
        <f>IF(DAY(MaySun1)=1,MaySun1+29,MaySun1+36)</f>
        <v>45082</v>
      </c>
      <c r="Q63" s="74">
        <f>IF(DAY(MaySun1)=1,MaySun1+30,MaySun1+37)</f>
        <v>45083</v>
      </c>
      <c r="R63" s="74">
        <f>IF(DAY(MaySun1)=1,MaySun1+31,MaySun1+38)</f>
        <v>45084</v>
      </c>
      <c r="S63" s="74">
        <f>IF(DAY(MaySun1)=1,MaySun1+32,MaySun1+39)</f>
        <v>45085</v>
      </c>
      <c r="T63" s="74">
        <f>IF(DAY(MaySun1)=1,MaySun1+33,MaySun1+40)</f>
        <v>45086</v>
      </c>
      <c r="U63" s="74">
        <f>IF(DAY(MaySun1)=1,MaySun1+34,MaySun1+41)</f>
        <v>45087</v>
      </c>
      <c r="V63" s="74">
        <f>IF(DAY(MaySun1)=1,MaySun1+35,MaySun1+42)</f>
        <v>45088</v>
      </c>
      <c r="W63" s="4"/>
    </row>
    <row r="64" spans="1:23" hidden="1" outlineLevel="1">
      <c r="A64" s="4"/>
      <c r="B64" s="4"/>
      <c r="C64" s="294"/>
      <c r="D64" s="290"/>
      <c r="E64" s="293"/>
      <c r="F64" s="8"/>
      <c r="G64" s="294"/>
      <c r="H64" s="290"/>
      <c r="I64" s="293"/>
      <c r="J64" s="8"/>
      <c r="K64" s="297"/>
      <c r="L64" s="298"/>
      <c r="M64" s="299"/>
      <c r="N64" s="8"/>
      <c r="O64" s="4"/>
      <c r="P64" s="4"/>
      <c r="Q64" s="4"/>
      <c r="R64" s="4"/>
      <c r="S64" s="4"/>
      <c r="T64" s="4"/>
      <c r="U64" s="4"/>
      <c r="V64" s="4"/>
      <c r="W64" s="4"/>
    </row>
    <row r="65" spans="1:23" hidden="1" outlineLevel="1">
      <c r="A65" s="4"/>
      <c r="B65" s="4"/>
      <c r="C65" s="294" t="s">
        <v>1901</v>
      </c>
      <c r="D65" s="290">
        <v>13</v>
      </c>
      <c r="E65" s="291" t="s">
        <v>1920</v>
      </c>
      <c r="F65" s="8"/>
      <c r="G65" s="294" t="s">
        <v>1901</v>
      </c>
      <c r="H65" s="290">
        <v>25</v>
      </c>
      <c r="I65" s="291" t="s">
        <v>1933</v>
      </c>
      <c r="J65" s="8"/>
      <c r="K65" s="294" t="s">
        <v>1901</v>
      </c>
      <c r="L65" s="295">
        <v>1</v>
      </c>
      <c r="M65" s="296" t="s">
        <v>1908</v>
      </c>
      <c r="N65" s="8"/>
      <c r="O65" s="4"/>
      <c r="P65" s="4"/>
      <c r="Q65" s="4"/>
      <c r="R65" s="4"/>
      <c r="S65" s="4"/>
      <c r="T65" s="4"/>
      <c r="U65" s="4"/>
      <c r="V65" s="4"/>
      <c r="W65" s="4"/>
    </row>
    <row r="66" spans="1:23" hidden="1" outlineLevel="1">
      <c r="A66" s="4"/>
      <c r="B66" s="4"/>
      <c r="C66" s="294"/>
      <c r="D66" s="290">
        <v>20</v>
      </c>
      <c r="E66" s="291" t="s">
        <v>1921</v>
      </c>
      <c r="F66" s="8"/>
      <c r="G66" s="294"/>
      <c r="H66" s="290"/>
      <c r="I66" s="291"/>
      <c r="J66" s="8"/>
      <c r="K66" s="294"/>
      <c r="L66" s="295"/>
      <c r="M66" s="296"/>
      <c r="N66" s="8"/>
      <c r="O66" s="4"/>
      <c r="P66" s="4"/>
      <c r="Q66" s="4"/>
      <c r="R66" s="4"/>
      <c r="S66" s="4"/>
      <c r="T66" s="4"/>
      <c r="U66" s="4"/>
      <c r="V66" s="4"/>
      <c r="W66" s="4"/>
    </row>
    <row r="67" spans="1:23" hidden="1" outlineLevel="1">
      <c r="A67" s="4"/>
      <c r="B67" s="4"/>
      <c r="C67" s="294"/>
      <c r="D67" s="290"/>
      <c r="E67" s="291"/>
      <c r="F67" s="8"/>
      <c r="G67" s="294"/>
      <c r="H67" s="290"/>
      <c r="I67" s="291"/>
      <c r="J67" s="8"/>
      <c r="K67" s="294"/>
      <c r="L67" s="295"/>
      <c r="M67" s="296"/>
      <c r="N67" s="8"/>
      <c r="O67" s="4"/>
      <c r="P67" s="4"/>
      <c r="Q67" s="4"/>
      <c r="R67" s="4"/>
      <c r="S67" s="4"/>
      <c r="T67" s="4"/>
      <c r="U67" s="4"/>
      <c r="V67" s="4"/>
      <c r="W67" s="4"/>
    </row>
    <row r="68" spans="1:23" hidden="1" outlineLevel="1">
      <c r="A68" s="4"/>
      <c r="B68" s="4"/>
      <c r="C68" s="294"/>
      <c r="D68" s="290"/>
      <c r="E68" s="291"/>
      <c r="F68" s="8"/>
      <c r="G68" s="294"/>
      <c r="H68" s="290"/>
      <c r="I68" s="291"/>
      <c r="J68" s="8"/>
      <c r="K68" s="294"/>
      <c r="L68" s="295"/>
      <c r="M68" s="296"/>
      <c r="N68" s="8"/>
      <c r="O68" s="4"/>
      <c r="P68" s="4"/>
      <c r="Q68" s="4"/>
      <c r="R68" s="4"/>
      <c r="S68" s="4"/>
      <c r="T68" s="4"/>
      <c r="U68" s="4"/>
      <c r="V68" s="4"/>
      <c r="W68" s="4"/>
    </row>
    <row r="69" spans="1:23" hidden="1" outlineLevel="1">
      <c r="A69" s="4"/>
      <c r="B69" s="4"/>
      <c r="C69" s="294"/>
      <c r="D69" s="290"/>
      <c r="E69" s="291"/>
      <c r="F69" s="8"/>
      <c r="G69" s="294"/>
      <c r="H69" s="290"/>
      <c r="I69" s="291"/>
      <c r="J69" s="8"/>
      <c r="K69" s="294"/>
      <c r="L69" s="295"/>
      <c r="M69" s="296"/>
      <c r="N69" s="8"/>
      <c r="O69" s="8"/>
      <c r="P69" s="8"/>
      <c r="Q69" s="8"/>
      <c r="R69" s="8"/>
      <c r="S69" s="8"/>
      <c r="T69" s="8"/>
      <c r="U69" s="8"/>
      <c r="V69" s="8"/>
      <c r="W69" s="4"/>
    </row>
    <row r="70" spans="1:23" ht="21" hidden="1" outlineLevel="1">
      <c r="A70" s="4"/>
      <c r="B70" s="4"/>
      <c r="C70" s="294"/>
      <c r="D70" s="290"/>
      <c r="E70" s="293"/>
      <c r="F70" s="8"/>
      <c r="G70" s="294"/>
      <c r="H70" s="290"/>
      <c r="I70" s="293"/>
      <c r="J70" s="8"/>
      <c r="K70" s="297"/>
      <c r="L70" s="298"/>
      <c r="M70" s="299"/>
      <c r="N70" s="8"/>
      <c r="O70" s="304" t="s">
        <v>1934</v>
      </c>
      <c r="P70" s="303" t="s">
        <v>1898</v>
      </c>
      <c r="Q70" s="303" t="s">
        <v>1899</v>
      </c>
      <c r="R70" s="303" t="s">
        <v>1900</v>
      </c>
      <c r="S70" s="303" t="s">
        <v>1901</v>
      </c>
      <c r="T70" s="303" t="s">
        <v>1902</v>
      </c>
      <c r="U70" s="303" t="s">
        <v>1903</v>
      </c>
      <c r="V70" s="303" t="s">
        <v>1904</v>
      </c>
      <c r="W70" s="4"/>
    </row>
    <row r="71" spans="1:23" ht="15.6" hidden="1" outlineLevel="1">
      <c r="A71" s="4"/>
      <c r="B71" s="4"/>
      <c r="C71" s="294" t="s">
        <v>1902</v>
      </c>
      <c r="D71" s="290"/>
      <c r="E71" s="291"/>
      <c r="F71" s="8"/>
      <c r="G71" s="294" t="s">
        <v>1902</v>
      </c>
      <c r="H71" s="290"/>
      <c r="I71" s="291"/>
      <c r="J71" s="8"/>
      <c r="K71" s="294" t="s">
        <v>1902</v>
      </c>
      <c r="L71" s="295">
        <v>30</v>
      </c>
      <c r="M71" s="296" t="s">
        <v>1924</v>
      </c>
      <c r="N71" s="8"/>
      <c r="O71" s="54"/>
      <c r="P71" s="77">
        <f>IF(DAY(JunSun1)=1,JunSun1-6,JunSun1+1)</f>
        <v>45075</v>
      </c>
      <c r="Q71" s="77">
        <f>IF(DAY(JunSun1)=1,JunSun1-5,JunSun1+2)</f>
        <v>45076</v>
      </c>
      <c r="R71" s="77">
        <f>IF(DAY(JunSun1)=1,JunSun1-4,JunSun1+3)</f>
        <v>45077</v>
      </c>
      <c r="S71" s="77">
        <f>IF(DAY(JunSun1)=1,JunSun1-3,JunSun1+4)</f>
        <v>45078</v>
      </c>
      <c r="T71" s="77">
        <f>IF(DAY(JunSun1)=1,JunSun1-2,JunSun1+5)</f>
        <v>45079</v>
      </c>
      <c r="U71" s="77">
        <f>IF(DAY(JunSun1)=1,JunSun1-1,JunSun1+6)</f>
        <v>45080</v>
      </c>
      <c r="V71" s="77">
        <f>IF(DAY(JunSun1)=1,JunSun1,JunSun1+7)</f>
        <v>45081</v>
      </c>
      <c r="W71" s="4"/>
    </row>
    <row r="72" spans="1:23" ht="15.6" hidden="1" outlineLevel="1">
      <c r="A72" s="4"/>
      <c r="B72" s="4"/>
      <c r="C72" s="294"/>
      <c r="D72" s="290"/>
      <c r="E72" s="291"/>
      <c r="F72" s="8"/>
      <c r="G72" s="294"/>
      <c r="H72" s="290"/>
      <c r="I72" s="291"/>
      <c r="J72" s="8"/>
      <c r="K72" s="294"/>
      <c r="L72" s="295"/>
      <c r="M72" s="296"/>
      <c r="N72" s="8"/>
      <c r="O72" s="54"/>
      <c r="P72" s="77">
        <f>IF(DAY(JunSun1)=1,JunSun1+1,JunSun1+8)</f>
        <v>45082</v>
      </c>
      <c r="Q72" s="77">
        <f>IF(DAY(JunSun1)=1,JunSun1+2,JunSun1+9)</f>
        <v>45083</v>
      </c>
      <c r="R72" s="77">
        <f>IF(DAY(JunSun1)=1,JunSun1+3,JunSun1+10)</f>
        <v>45084</v>
      </c>
      <c r="S72" s="77">
        <f>IF(DAY(JunSun1)=1,JunSun1+4,JunSun1+11)</f>
        <v>45085</v>
      </c>
      <c r="T72" s="77">
        <f>IF(DAY(JunSun1)=1,JunSun1+5,JunSun1+12)</f>
        <v>45086</v>
      </c>
      <c r="U72" s="77">
        <f>IF(DAY(JunSun1)=1,JunSun1+6,JunSun1+13)</f>
        <v>45087</v>
      </c>
      <c r="V72" s="77">
        <f>IF(DAY(JunSun1)=1,JunSun1+7,JunSun1+14)</f>
        <v>45088</v>
      </c>
      <c r="W72" s="4"/>
    </row>
    <row r="73" spans="1:23" ht="15.6" hidden="1" outlineLevel="1">
      <c r="A73" s="4"/>
      <c r="B73" s="4"/>
      <c r="C73" s="294"/>
      <c r="D73" s="290"/>
      <c r="E73" s="291"/>
      <c r="F73" s="8"/>
      <c r="G73" s="294"/>
      <c r="H73" s="290"/>
      <c r="I73" s="291"/>
      <c r="J73" s="8"/>
      <c r="K73" s="294"/>
      <c r="L73" s="295"/>
      <c r="M73" s="296"/>
      <c r="N73" s="8"/>
      <c r="O73" s="54"/>
      <c r="P73" s="77">
        <f>IF(DAY(JunSun1)=1,JunSun1+8,JunSun1+15)</f>
        <v>45089</v>
      </c>
      <c r="Q73" s="77">
        <f>IF(DAY(JunSun1)=1,JunSun1+9,JunSun1+16)</f>
        <v>45090</v>
      </c>
      <c r="R73" s="77">
        <f>IF(DAY(JunSun1)=1,JunSun1+10,JunSun1+17)</f>
        <v>45091</v>
      </c>
      <c r="S73" s="77">
        <f>IF(DAY(JunSun1)=1,JunSun1+11,JunSun1+18)</f>
        <v>45092</v>
      </c>
      <c r="T73" s="77">
        <f>IF(DAY(JunSun1)=1,JunSun1+12,JunSun1+19)</f>
        <v>45093</v>
      </c>
      <c r="U73" s="77">
        <f>IF(DAY(JunSun1)=1,JunSun1+13,JunSun1+20)</f>
        <v>45094</v>
      </c>
      <c r="V73" s="77">
        <f>IF(DAY(JunSun1)=1,JunSun1+14,JunSun1+21)</f>
        <v>45095</v>
      </c>
      <c r="W73" s="4"/>
    </row>
    <row r="74" spans="1:23" ht="15.6" hidden="1" outlineLevel="1">
      <c r="A74" s="4"/>
      <c r="B74" s="4"/>
      <c r="C74" s="294"/>
      <c r="D74" s="290"/>
      <c r="E74" s="291"/>
      <c r="F74" s="8"/>
      <c r="G74" s="294"/>
      <c r="H74" s="290"/>
      <c r="I74" s="291"/>
      <c r="J74" s="8"/>
      <c r="K74" s="294"/>
      <c r="L74" s="295"/>
      <c r="M74" s="296"/>
      <c r="N74" s="8"/>
      <c r="O74" s="54"/>
      <c r="P74" s="77">
        <f>IF(DAY(JunSun1)=1,JunSun1+15,JunSun1+22)</f>
        <v>45096</v>
      </c>
      <c r="Q74" s="77">
        <f>IF(DAY(JunSun1)=1,JunSun1+16,JunSun1+23)</f>
        <v>45097</v>
      </c>
      <c r="R74" s="77">
        <f>IF(DAY(JunSun1)=1,JunSun1+17,JunSun1+24)</f>
        <v>45098</v>
      </c>
      <c r="S74" s="77">
        <f>IF(DAY(JunSun1)=1,JunSun1+18,JunSun1+25)</f>
        <v>45099</v>
      </c>
      <c r="T74" s="77">
        <f>IF(DAY(JunSun1)=1,JunSun1+19,JunSun1+26)</f>
        <v>45100</v>
      </c>
      <c r="U74" s="77">
        <f>IF(DAY(JunSun1)=1,JunSun1+20,JunSun1+27)</f>
        <v>45101</v>
      </c>
      <c r="V74" s="77">
        <f>IF(DAY(JunSun1)=1,JunSun1+21,JunSun1+28)</f>
        <v>45102</v>
      </c>
      <c r="W74" s="4"/>
    </row>
    <row r="75" spans="1:23" ht="15.6" hidden="1" outlineLevel="1">
      <c r="A75" s="4"/>
      <c r="B75" s="4"/>
      <c r="C75" s="294"/>
      <c r="D75" s="290"/>
      <c r="E75" s="291"/>
      <c r="F75" s="8"/>
      <c r="G75" s="294"/>
      <c r="H75" s="290"/>
      <c r="I75" s="291"/>
      <c r="J75" s="8"/>
      <c r="K75" s="294"/>
      <c r="L75" s="295"/>
      <c r="M75" s="296"/>
      <c r="N75" s="8"/>
      <c r="O75" s="54"/>
      <c r="P75" s="77">
        <f>IF(DAY(JunSun1)=1,JunSun1+22,JunSun1+29)</f>
        <v>45103</v>
      </c>
      <c r="Q75" s="77">
        <f>IF(DAY(JunSun1)=1,JunSun1+23,JunSun1+30)</f>
        <v>45104</v>
      </c>
      <c r="R75" s="77">
        <f>IF(DAY(JunSun1)=1,JunSun1+24,JunSun1+31)</f>
        <v>45105</v>
      </c>
      <c r="S75" s="77">
        <f>IF(DAY(JunSun1)=1,JunSun1+25,JunSun1+32)</f>
        <v>45106</v>
      </c>
      <c r="T75" s="77">
        <f>IF(DAY(JunSun1)=1,JunSun1+26,JunSun1+33)</f>
        <v>45107</v>
      </c>
      <c r="U75" s="77">
        <f>IF(DAY(JunSun1)=1,JunSun1+27,JunSun1+34)</f>
        <v>45108</v>
      </c>
      <c r="V75" s="77">
        <f>IF(DAY(JunSun1)=1,JunSun1+28,JunSun1+35)</f>
        <v>45109</v>
      </c>
      <c r="W75" s="4"/>
    </row>
    <row r="76" spans="1:23" ht="15.6" hidden="1" outlineLevel="1">
      <c r="A76" s="4"/>
      <c r="B76" s="4"/>
      <c r="C76" s="294"/>
      <c r="D76" s="290"/>
      <c r="E76" s="291"/>
      <c r="F76" s="8"/>
      <c r="G76" s="294"/>
      <c r="H76" s="290"/>
      <c r="I76" s="291"/>
      <c r="J76" s="8"/>
      <c r="K76" s="294"/>
      <c r="L76" s="295"/>
      <c r="M76" s="300"/>
      <c r="N76" s="8"/>
      <c r="O76" s="75"/>
      <c r="P76" s="77">
        <f>IF(DAY(JunSun1)=1,JunSun1+29,JunSun1+36)</f>
        <v>45110</v>
      </c>
      <c r="Q76" s="77">
        <f>IF(DAY(JunSun1)=1,JunSun1+30,JunSun1+37)</f>
        <v>45111</v>
      </c>
      <c r="R76" s="77">
        <f>IF(DAY(JunSun1)=1,JunSun1+31,JunSun1+38)</f>
        <v>45112</v>
      </c>
      <c r="S76" s="77">
        <f>IF(DAY(JunSun1)=1,JunSun1+32,JunSun1+39)</f>
        <v>45113</v>
      </c>
      <c r="T76" s="77">
        <f>IF(DAY(JunSun1)=1,JunSun1+33,JunSun1+40)</f>
        <v>45114</v>
      </c>
      <c r="U76" s="77">
        <f>IF(DAY(JunSun1)=1,JunSun1+34,JunSun1+41)</f>
        <v>45115</v>
      </c>
      <c r="V76" s="77">
        <f>IF(DAY(JunSun1)=1,JunSun1+35,JunSun1+42)</f>
        <v>45116</v>
      </c>
      <c r="W76" s="4"/>
    </row>
    <row r="77" spans="1:23" ht="21" hidden="1" outlineLevel="1">
      <c r="A77" s="4"/>
      <c r="B77" s="4"/>
      <c r="C77" s="78"/>
      <c r="D77" s="8"/>
      <c r="E77" s="55"/>
      <c r="F77" s="8"/>
      <c r="G77" s="8"/>
      <c r="H77" s="8"/>
      <c r="I77" s="8"/>
      <c r="J77" s="8"/>
      <c r="K77" s="8"/>
      <c r="L77" s="8"/>
      <c r="M77" s="8"/>
      <c r="N77" s="8"/>
      <c r="O77" s="8"/>
      <c r="P77" s="8"/>
      <c r="Q77" s="8"/>
      <c r="R77" s="8"/>
      <c r="S77" s="8"/>
      <c r="T77" s="8"/>
      <c r="U77" s="8"/>
      <c r="V77" s="8"/>
      <c r="W77" s="4"/>
    </row>
    <row r="78" spans="1:23" ht="21" collapsed="1">
      <c r="A78" s="4"/>
      <c r="B78" s="4"/>
      <c r="C78" s="712" t="s">
        <v>1935</v>
      </c>
      <c r="D78" s="712"/>
      <c r="E78" s="712"/>
      <c r="F78" s="712"/>
      <c r="G78" s="712"/>
      <c r="H78" s="712"/>
      <c r="I78" s="712"/>
      <c r="J78" s="712"/>
      <c r="K78" s="712"/>
      <c r="L78" s="712"/>
      <c r="M78" s="712"/>
      <c r="N78" s="712"/>
      <c r="O78" s="712"/>
      <c r="P78" s="712"/>
      <c r="Q78" s="712"/>
      <c r="R78" s="712"/>
      <c r="S78" s="712"/>
      <c r="T78" s="712"/>
      <c r="U78" s="712"/>
      <c r="V78" s="712"/>
      <c r="W78" s="4"/>
    </row>
    <row r="79" spans="1:23" ht="21" hidden="1" outlineLevel="1">
      <c r="A79" s="4"/>
      <c r="B79" s="4"/>
      <c r="C79" s="73"/>
      <c r="D79" s="72"/>
      <c r="E79" s="55"/>
      <c r="F79" s="8"/>
      <c r="G79" s="8"/>
      <c r="H79" s="8"/>
      <c r="I79" s="8"/>
      <c r="J79" s="8"/>
      <c r="K79" s="8"/>
      <c r="L79" s="8"/>
      <c r="M79" s="8"/>
      <c r="N79" s="8"/>
      <c r="O79" s="8"/>
      <c r="P79" s="8"/>
      <c r="Q79" s="8"/>
      <c r="R79" s="8"/>
      <c r="S79" s="8"/>
      <c r="T79" s="8"/>
      <c r="U79" s="8"/>
      <c r="V79" s="8"/>
      <c r="W79" s="4"/>
    </row>
    <row r="80" spans="1:23" ht="21" hidden="1" outlineLevel="1">
      <c r="A80" s="4"/>
      <c r="B80" s="4"/>
      <c r="C80" s="710" t="s">
        <v>1936</v>
      </c>
      <c r="D80" s="710"/>
      <c r="E80" s="710"/>
      <c r="F80" s="55"/>
      <c r="G80" s="711" t="s">
        <v>1937</v>
      </c>
      <c r="H80" s="711"/>
      <c r="I80" s="711"/>
      <c r="J80" s="55"/>
      <c r="K80" s="711" t="s">
        <v>1938</v>
      </c>
      <c r="L80" s="711"/>
      <c r="M80" s="711"/>
      <c r="N80" s="8"/>
      <c r="O80" s="304" t="s">
        <v>1939</v>
      </c>
      <c r="P80" s="301" t="s">
        <v>1898</v>
      </c>
      <c r="Q80" s="301" t="s">
        <v>1899</v>
      </c>
      <c r="R80" s="301" t="s">
        <v>1900</v>
      </c>
      <c r="S80" s="301" t="s">
        <v>1901</v>
      </c>
      <c r="T80" s="301" t="s">
        <v>1902</v>
      </c>
      <c r="U80" s="301" t="s">
        <v>1903</v>
      </c>
      <c r="V80" s="301" t="s">
        <v>1904</v>
      </c>
      <c r="W80" s="4"/>
    </row>
    <row r="81" spans="1:23" hidden="1" outlineLevel="1">
      <c r="A81" s="4"/>
      <c r="B81" s="4"/>
      <c r="C81" s="289" t="s">
        <v>1905</v>
      </c>
      <c r="D81" s="289" t="s">
        <v>1906</v>
      </c>
      <c r="E81" s="289" t="s">
        <v>1907</v>
      </c>
      <c r="F81" s="55"/>
      <c r="G81" s="289" t="s">
        <v>1905</v>
      </c>
      <c r="H81" s="289" t="s">
        <v>1906</v>
      </c>
      <c r="I81" s="289" t="s">
        <v>1907</v>
      </c>
      <c r="J81" s="55"/>
      <c r="K81" s="289" t="s">
        <v>1905</v>
      </c>
      <c r="L81" s="289" t="s">
        <v>1906</v>
      </c>
      <c r="M81" s="289" t="s">
        <v>1907</v>
      </c>
      <c r="N81" s="8"/>
      <c r="O81" s="54"/>
      <c r="P81" s="74">
        <f>IF(DAY(JulSun1)=1,JulSun1-6,JulSun1+1)</f>
        <v>45103</v>
      </c>
      <c r="Q81" s="74">
        <f>IF(DAY(JulSun1)=1,JulSun1-5,JulSun1+2)</f>
        <v>45104</v>
      </c>
      <c r="R81" s="74">
        <f>IF(DAY(JulSun1)=1,JulSun1-4,JulSun1+3)</f>
        <v>45105</v>
      </c>
      <c r="S81" s="74">
        <f>IF(DAY(JulSun1)=1,JulSun1-3,JulSun1+4)</f>
        <v>45106</v>
      </c>
      <c r="T81" s="74">
        <f>IF(DAY(JulSun1)=1,JulSun1-2,JulSun1+5)</f>
        <v>45107</v>
      </c>
      <c r="U81" s="74">
        <f>IF(DAY(JulSun1)=1,JulSun1-1,JulSun1+6)</f>
        <v>45108</v>
      </c>
      <c r="V81" s="74">
        <f>IF(DAY(JulSun1)=1,JulSun1,JulSun1+7)</f>
        <v>45109</v>
      </c>
      <c r="W81" s="4"/>
    </row>
    <row r="82" spans="1:23" ht="29.1" hidden="1" outlineLevel="1">
      <c r="A82" s="4"/>
      <c r="B82" s="4"/>
      <c r="C82" s="294" t="s">
        <v>1898</v>
      </c>
      <c r="D82" s="290">
        <v>3</v>
      </c>
      <c r="E82" s="291" t="s">
        <v>1908</v>
      </c>
      <c r="F82" s="8"/>
      <c r="G82" s="294" t="s">
        <v>1898</v>
      </c>
      <c r="H82" s="290">
        <v>28</v>
      </c>
      <c r="I82" s="291" t="s">
        <v>1909</v>
      </c>
      <c r="J82" s="8"/>
      <c r="K82" s="294" t="s">
        <v>1898</v>
      </c>
      <c r="L82" s="295">
        <v>11</v>
      </c>
      <c r="M82" s="296" t="s">
        <v>1910</v>
      </c>
      <c r="N82" s="8"/>
      <c r="O82" s="54"/>
      <c r="P82" s="74">
        <f>IF(DAY(JulSun1)=1,JulSun1+1,JulSun1+8)</f>
        <v>45110</v>
      </c>
      <c r="Q82" s="74">
        <f>IF(DAY(JulSun1)=1,JulSun1+2,JulSun1+9)</f>
        <v>45111</v>
      </c>
      <c r="R82" s="74">
        <f>IF(DAY(JulSun1)=1,JulSun1+3,JulSun1+10)</f>
        <v>45112</v>
      </c>
      <c r="S82" s="74">
        <f>IF(DAY(JulSun1)=1,JulSun1+4,JulSun1+11)</f>
        <v>45113</v>
      </c>
      <c r="T82" s="74">
        <f>IF(DAY(JulSun1)=1,JulSun1+5,JulSun1+12)</f>
        <v>45114</v>
      </c>
      <c r="U82" s="74">
        <f>IF(DAY(JulSun1)=1,JulSun1+6,JulSun1+13)</f>
        <v>45115</v>
      </c>
      <c r="V82" s="74">
        <f>IF(DAY(JulSun1)=1,JulSun1+7,JulSun1+14)</f>
        <v>45116</v>
      </c>
      <c r="W82" s="4"/>
    </row>
    <row r="83" spans="1:23" hidden="1" outlineLevel="1">
      <c r="A83" s="4"/>
      <c r="B83" s="4"/>
      <c r="C83" s="294"/>
      <c r="D83" s="290">
        <v>10</v>
      </c>
      <c r="E83" s="291" t="s">
        <v>1911</v>
      </c>
      <c r="F83" s="8"/>
      <c r="G83" s="294"/>
      <c r="H83" s="290"/>
      <c r="I83" s="291"/>
      <c r="J83" s="8"/>
      <c r="K83" s="294"/>
      <c r="L83" s="295"/>
      <c r="M83" s="296"/>
      <c r="N83" s="8"/>
      <c r="O83" s="54"/>
      <c r="P83" s="74">
        <f>IF(DAY(JulSun1)=1,JulSun1+8,JulSun1+15)</f>
        <v>45117</v>
      </c>
      <c r="Q83" s="74">
        <f>IF(DAY(JulSun1)=1,JulSun1+9,JulSun1+16)</f>
        <v>45118</v>
      </c>
      <c r="R83" s="74">
        <f>IF(DAY(JulSun1)=1,JulSun1+10,JulSun1+17)</f>
        <v>45119</v>
      </c>
      <c r="S83" s="74">
        <f>IF(DAY(JulSun1)=1,JulSun1+11,JulSun1+18)</f>
        <v>45120</v>
      </c>
      <c r="T83" s="74">
        <f>IF(DAY(JulSun1)=1,JulSun1+12,JulSun1+19)</f>
        <v>45121</v>
      </c>
      <c r="U83" s="74">
        <f>IF(DAY(JulSun1)=1,JulSun1+13,JulSun1+20)</f>
        <v>45122</v>
      </c>
      <c r="V83" s="74">
        <f>IF(DAY(JulSun1)=1,JulSun1+14,JulSun1+21)</f>
        <v>45123</v>
      </c>
      <c r="W83" s="4"/>
    </row>
    <row r="84" spans="1:23" hidden="1" outlineLevel="1">
      <c r="A84" s="4"/>
      <c r="B84" s="4"/>
      <c r="C84" s="294"/>
      <c r="D84" s="290"/>
      <c r="E84" s="291"/>
      <c r="F84" s="8"/>
      <c r="G84" s="294"/>
      <c r="H84" s="290"/>
      <c r="I84" s="291"/>
      <c r="J84" s="8"/>
      <c r="K84" s="294"/>
      <c r="L84" s="295"/>
      <c r="M84" s="296"/>
      <c r="N84" s="8"/>
      <c r="O84" s="54"/>
      <c r="P84" s="74">
        <f>IF(DAY(JulSun1)=1,JulSun1+15,JulSun1+22)</f>
        <v>45124</v>
      </c>
      <c r="Q84" s="74">
        <f>IF(DAY(JulSun1)=1,JulSun1+16,JulSun1+23)</f>
        <v>45125</v>
      </c>
      <c r="R84" s="74">
        <f>IF(DAY(JulSun1)=1,JulSun1+17,JulSun1+24)</f>
        <v>45126</v>
      </c>
      <c r="S84" s="74">
        <f>IF(DAY(JulSun1)=1,JulSun1+18,JulSun1+25)</f>
        <v>45127</v>
      </c>
      <c r="T84" s="74">
        <f>IF(DAY(JulSun1)=1,JulSun1+19,JulSun1+26)</f>
        <v>45128</v>
      </c>
      <c r="U84" s="74">
        <f>IF(DAY(JulSun1)=1,JulSun1+20,JulSun1+27)</f>
        <v>45129</v>
      </c>
      <c r="V84" s="74">
        <f>IF(DAY(JulSun1)=1,JulSun1+21,JulSun1+28)</f>
        <v>45130</v>
      </c>
      <c r="W84" s="4"/>
    </row>
    <row r="85" spans="1:23" hidden="1" outlineLevel="1">
      <c r="A85" s="4"/>
      <c r="B85" s="4"/>
      <c r="C85" s="294"/>
      <c r="D85" s="290"/>
      <c r="E85" s="291"/>
      <c r="F85" s="8"/>
      <c r="G85" s="294"/>
      <c r="H85" s="290"/>
      <c r="I85" s="291"/>
      <c r="J85" s="8"/>
      <c r="K85" s="294"/>
      <c r="L85" s="295"/>
      <c r="M85" s="296"/>
      <c r="N85" s="8"/>
      <c r="O85" s="54"/>
      <c r="P85" s="74">
        <f>IF(DAY(JulSun1)=1,JulSun1+22,JulSun1+29)</f>
        <v>45131</v>
      </c>
      <c r="Q85" s="74">
        <f>IF(DAY(JulSun1)=1,JulSun1+23,JulSun1+30)</f>
        <v>45132</v>
      </c>
      <c r="R85" s="74">
        <f>IF(DAY(JulSun1)=1,JulSun1+24,JulSun1+31)</f>
        <v>45133</v>
      </c>
      <c r="S85" s="74">
        <f>IF(DAY(JulSun1)=1,JulSun1+25,JulSun1+32)</f>
        <v>45134</v>
      </c>
      <c r="T85" s="74">
        <f>IF(DAY(JulSun1)=1,JulSun1+26,JulSun1+33)</f>
        <v>45135</v>
      </c>
      <c r="U85" s="74">
        <f>IF(DAY(JulSun1)=1,JulSun1+27,JulSun1+34)</f>
        <v>45136</v>
      </c>
      <c r="V85" s="74">
        <f>IF(DAY(JulSun1)=1,JulSun1+28,JulSun1+35)</f>
        <v>45137</v>
      </c>
      <c r="W85" s="4"/>
    </row>
    <row r="86" spans="1:23" hidden="1" outlineLevel="1">
      <c r="A86" s="4"/>
      <c r="B86" s="4"/>
      <c r="C86" s="294"/>
      <c r="D86" s="290"/>
      <c r="E86" s="291"/>
      <c r="F86" s="8"/>
      <c r="G86" s="294"/>
      <c r="H86" s="290"/>
      <c r="I86" s="291"/>
      <c r="J86" s="8"/>
      <c r="K86" s="294"/>
      <c r="L86" s="295"/>
      <c r="M86" s="296"/>
      <c r="N86" s="8"/>
      <c r="O86" s="75"/>
      <c r="P86" s="76">
        <f>IF(DAY(JulSun1)=1,JulSun1+29,JulSun1+36)</f>
        <v>45138</v>
      </c>
      <c r="Q86" s="76">
        <f>IF(DAY(JulSun1)=1,JulSun1+30,JulSun1+37)</f>
        <v>45139</v>
      </c>
      <c r="R86" s="76">
        <f>IF(DAY(JulSun1)=1,JulSun1+31,JulSun1+38)</f>
        <v>45140</v>
      </c>
      <c r="S86" s="76">
        <f>IF(DAY(JulSun1)=1,JulSun1+32,JulSun1+39)</f>
        <v>45141</v>
      </c>
      <c r="T86" s="76">
        <f>IF(DAY(JulSun1)=1,JulSun1+33,JulSun1+40)</f>
        <v>45142</v>
      </c>
      <c r="U86" s="76">
        <f>IF(DAY(JulSun1)=1,JulSun1+34,JulSun1+41)</f>
        <v>45143</v>
      </c>
      <c r="V86" s="76">
        <f>IF(DAY(JulSun1)=1,JulSun1+35,JulSun1+42)</f>
        <v>45144</v>
      </c>
      <c r="W86" s="4"/>
    </row>
    <row r="87" spans="1:23" hidden="1" outlineLevel="1">
      <c r="A87" s="4"/>
      <c r="B87" s="4"/>
      <c r="C87" s="294"/>
      <c r="D87" s="290"/>
      <c r="E87" s="292"/>
      <c r="F87" s="8"/>
      <c r="G87" s="294"/>
      <c r="H87" s="290"/>
      <c r="I87" s="293"/>
      <c r="J87" s="8"/>
      <c r="K87" s="297"/>
      <c r="L87" s="298"/>
      <c r="M87" s="299"/>
      <c r="N87" s="8"/>
      <c r="O87" s="4"/>
      <c r="P87" s="4"/>
      <c r="Q87" s="4"/>
      <c r="R87" s="4"/>
      <c r="S87" s="4"/>
      <c r="T87" s="4"/>
      <c r="U87" s="4"/>
      <c r="V87" s="4"/>
      <c r="W87" s="4"/>
    </row>
    <row r="88" spans="1:23" hidden="1" outlineLevel="1">
      <c r="A88" s="4"/>
      <c r="B88" s="4"/>
      <c r="C88" s="294" t="s">
        <v>1899</v>
      </c>
      <c r="D88" s="290">
        <v>18</v>
      </c>
      <c r="E88" s="291" t="s">
        <v>1916</v>
      </c>
      <c r="F88" s="8"/>
      <c r="G88" s="294" t="s">
        <v>1899</v>
      </c>
      <c r="H88" s="290">
        <v>1</v>
      </c>
      <c r="I88" s="291" t="s">
        <v>1908</v>
      </c>
      <c r="J88" s="8"/>
      <c r="K88" s="294" t="s">
        <v>1899</v>
      </c>
      <c r="L88" s="295"/>
      <c r="M88" s="296"/>
      <c r="N88" s="8"/>
      <c r="O88" s="8"/>
      <c r="P88" s="8"/>
      <c r="Q88" s="8"/>
      <c r="R88" s="8"/>
      <c r="S88" s="8"/>
      <c r="T88" s="8"/>
      <c r="U88" s="8"/>
      <c r="V88" s="8"/>
      <c r="W88" s="4"/>
    </row>
    <row r="89" spans="1:23" hidden="1" outlineLevel="1">
      <c r="A89" s="4"/>
      <c r="B89" s="4"/>
      <c r="C89" s="294"/>
      <c r="D89" s="290"/>
      <c r="E89" s="291"/>
      <c r="F89" s="8"/>
      <c r="G89" s="294"/>
      <c r="H89" s="290"/>
      <c r="I89" s="291"/>
      <c r="J89" s="8"/>
      <c r="K89" s="294"/>
      <c r="L89" s="295"/>
      <c r="M89" s="296"/>
      <c r="N89" s="8"/>
      <c r="O89" s="4"/>
      <c r="P89" s="4"/>
      <c r="Q89" s="4"/>
      <c r="R89" s="4"/>
      <c r="S89" s="4"/>
      <c r="T89" s="4"/>
      <c r="U89" s="4"/>
      <c r="V89" s="4"/>
      <c r="W89" s="4"/>
    </row>
    <row r="90" spans="1:23" hidden="1" outlineLevel="1">
      <c r="A90" s="4"/>
      <c r="B90" s="4"/>
      <c r="C90" s="294"/>
      <c r="D90" s="290"/>
      <c r="E90" s="291"/>
      <c r="F90" s="8"/>
      <c r="G90" s="294"/>
      <c r="H90" s="290"/>
      <c r="I90" s="291"/>
      <c r="J90" s="8"/>
      <c r="K90" s="294"/>
      <c r="L90" s="295"/>
      <c r="M90" s="296"/>
      <c r="N90" s="8"/>
      <c r="O90" s="4"/>
      <c r="P90" s="4"/>
      <c r="Q90" s="4"/>
      <c r="R90" s="4"/>
      <c r="S90" s="4"/>
      <c r="T90" s="4"/>
      <c r="U90" s="4"/>
      <c r="V90" s="4"/>
      <c r="W90" s="4"/>
    </row>
    <row r="91" spans="1:23" hidden="1" outlineLevel="1">
      <c r="A91" s="4"/>
      <c r="B91" s="4"/>
      <c r="C91" s="294"/>
      <c r="D91" s="290"/>
      <c r="E91" s="291"/>
      <c r="F91" s="8"/>
      <c r="G91" s="294"/>
      <c r="H91" s="290"/>
      <c r="I91" s="291"/>
      <c r="J91" s="8"/>
      <c r="K91" s="294"/>
      <c r="L91" s="295"/>
      <c r="M91" s="296"/>
      <c r="N91" s="8"/>
      <c r="O91" s="4"/>
      <c r="P91" s="4"/>
      <c r="Q91" s="4"/>
      <c r="R91" s="4"/>
      <c r="S91" s="4"/>
      <c r="T91" s="4"/>
      <c r="U91" s="4"/>
      <c r="V91" s="4"/>
      <c r="W91" s="4"/>
    </row>
    <row r="92" spans="1:23" ht="21" hidden="1" outlineLevel="1">
      <c r="A92" s="4"/>
      <c r="B92" s="4"/>
      <c r="C92" s="294"/>
      <c r="D92" s="290"/>
      <c r="E92" s="291"/>
      <c r="F92" s="8"/>
      <c r="G92" s="294"/>
      <c r="H92" s="290"/>
      <c r="I92" s="291"/>
      <c r="J92" s="8"/>
      <c r="K92" s="294"/>
      <c r="L92" s="295"/>
      <c r="M92" s="296"/>
      <c r="N92" s="8"/>
      <c r="O92" s="305" t="s">
        <v>1940</v>
      </c>
      <c r="P92" s="302" t="s">
        <v>1898</v>
      </c>
      <c r="Q92" s="302" t="s">
        <v>1899</v>
      </c>
      <c r="R92" s="302" t="s">
        <v>1900</v>
      </c>
      <c r="S92" s="302" t="s">
        <v>1901</v>
      </c>
      <c r="T92" s="302" t="s">
        <v>1902</v>
      </c>
      <c r="U92" s="302" t="s">
        <v>1903</v>
      </c>
      <c r="V92" s="302" t="s">
        <v>1904</v>
      </c>
      <c r="W92" s="4"/>
    </row>
    <row r="93" spans="1:23" hidden="1" outlineLevel="1">
      <c r="A93" s="4"/>
      <c r="B93" s="4"/>
      <c r="C93" s="294"/>
      <c r="D93" s="290"/>
      <c r="E93" s="292"/>
      <c r="F93" s="8"/>
      <c r="G93" s="294"/>
      <c r="H93" s="290"/>
      <c r="I93" s="293"/>
      <c r="J93" s="8"/>
      <c r="K93" s="297"/>
      <c r="L93" s="298"/>
      <c r="M93" s="299"/>
      <c r="N93" s="8"/>
      <c r="O93" s="54"/>
      <c r="P93" s="74">
        <f>IF(DAY(AugSun1)=1,AugSun1-6,AugSun1+1)</f>
        <v>45138</v>
      </c>
      <c r="Q93" s="74">
        <f>IF(DAY(AugSun1)=1,AugSun1-5,AugSun1+2)</f>
        <v>45139</v>
      </c>
      <c r="R93" s="74">
        <f>IF(DAY(AugSun1)=1,AugSun1-4,AugSun1+3)</f>
        <v>45140</v>
      </c>
      <c r="S93" s="74">
        <f>IF(DAY(AugSun1)=1,AugSun1-3,AugSun1+4)</f>
        <v>45141</v>
      </c>
      <c r="T93" s="74">
        <f>IF(DAY(AugSun1)=1,AugSun1-2,AugSun1+5)</f>
        <v>45142</v>
      </c>
      <c r="U93" s="74">
        <f>IF(DAY(AugSun1)=1,AugSun1-1,AugSun1+6)</f>
        <v>45143</v>
      </c>
      <c r="V93" s="74">
        <f>IF(DAY(AugSun1)=1,AugSun1,AugSun1+7)</f>
        <v>45144</v>
      </c>
      <c r="W93" s="4"/>
    </row>
    <row r="94" spans="1:23" hidden="1" outlineLevel="1">
      <c r="A94" s="4"/>
      <c r="B94" s="4"/>
      <c r="C94" s="294" t="s">
        <v>1900</v>
      </c>
      <c r="D94" s="290">
        <v>26</v>
      </c>
      <c r="E94" s="291" t="s">
        <v>1918</v>
      </c>
      <c r="F94" s="8"/>
      <c r="G94" s="294" t="s">
        <v>1900</v>
      </c>
      <c r="H94" s="290">
        <v>16</v>
      </c>
      <c r="I94" s="291" t="s">
        <v>1941</v>
      </c>
      <c r="J94" s="8"/>
      <c r="K94" s="294" t="s">
        <v>1900</v>
      </c>
      <c r="L94" s="295"/>
      <c r="M94" s="296"/>
      <c r="N94" s="8"/>
      <c r="O94" s="54"/>
      <c r="P94" s="74">
        <f>IF(DAY(AugSun1)=1,AugSun1+1,AugSun1+8)</f>
        <v>45145</v>
      </c>
      <c r="Q94" s="74">
        <f>IF(DAY(AugSun1)=1,AugSun1+2,AugSun1+9)</f>
        <v>45146</v>
      </c>
      <c r="R94" s="74">
        <f>IF(DAY(AugSun1)=1,AugSun1+3,AugSun1+10)</f>
        <v>45147</v>
      </c>
      <c r="S94" s="74">
        <f>IF(DAY(AugSun1)=1,AugSun1+4,AugSun1+11)</f>
        <v>45148</v>
      </c>
      <c r="T94" s="74">
        <f>IF(DAY(AugSun1)=1,AugSun1+5,AugSun1+12)</f>
        <v>45149</v>
      </c>
      <c r="U94" s="74">
        <f>IF(DAY(AugSun1)=1,AugSun1+6,AugSun1+13)</f>
        <v>45150</v>
      </c>
      <c r="V94" s="74">
        <f>IF(DAY(AugSun1)=1,AugSun1+7,AugSun1+14)</f>
        <v>45151</v>
      </c>
      <c r="W94" s="4"/>
    </row>
    <row r="95" spans="1:23" hidden="1" outlineLevel="1">
      <c r="A95" s="4"/>
      <c r="B95" s="4"/>
      <c r="C95" s="294"/>
      <c r="D95" s="290"/>
      <c r="E95" s="291"/>
      <c r="F95" s="8"/>
      <c r="G95" s="294"/>
      <c r="H95" s="290"/>
      <c r="I95" s="291"/>
      <c r="J95" s="8"/>
      <c r="K95" s="294"/>
      <c r="L95" s="295"/>
      <c r="M95" s="296"/>
      <c r="N95" s="8"/>
      <c r="O95" s="54"/>
      <c r="P95" s="74">
        <f>IF(DAY(AugSun1)=1,AugSun1+8,AugSun1+15)</f>
        <v>45152</v>
      </c>
      <c r="Q95" s="74">
        <f>IF(DAY(AugSun1)=1,AugSun1+9,AugSun1+16)</f>
        <v>45153</v>
      </c>
      <c r="R95" s="74">
        <f>IF(DAY(AugSun1)=1,AugSun1+10,AugSun1+17)</f>
        <v>45154</v>
      </c>
      <c r="S95" s="74">
        <f>IF(DAY(AugSun1)=1,AugSun1+11,AugSun1+18)</f>
        <v>45155</v>
      </c>
      <c r="T95" s="74">
        <f>IF(DAY(AugSun1)=1,AugSun1+12,AugSun1+19)</f>
        <v>45156</v>
      </c>
      <c r="U95" s="74">
        <f>IF(DAY(AugSun1)=1,AugSun1+13,AugSun1+20)</f>
        <v>45157</v>
      </c>
      <c r="V95" s="74">
        <f>IF(DAY(AugSun1)=1,AugSun1+14,AugSun1+21)</f>
        <v>45158</v>
      </c>
      <c r="W95" s="4"/>
    </row>
    <row r="96" spans="1:23" hidden="1" outlineLevel="1">
      <c r="A96" s="4"/>
      <c r="B96" s="4"/>
      <c r="C96" s="294"/>
      <c r="D96" s="290"/>
      <c r="E96" s="291"/>
      <c r="F96" s="8"/>
      <c r="G96" s="294"/>
      <c r="H96" s="290"/>
      <c r="I96" s="291"/>
      <c r="J96" s="8"/>
      <c r="K96" s="294"/>
      <c r="L96" s="295"/>
      <c r="M96" s="296"/>
      <c r="N96" s="8"/>
      <c r="O96" s="54"/>
      <c r="P96" s="74">
        <f>IF(DAY(AugSun1)=1,AugSun1+15,AugSun1+22)</f>
        <v>45159</v>
      </c>
      <c r="Q96" s="74">
        <f>IF(DAY(AugSun1)=1,AugSun1+16,AugSun1+23)</f>
        <v>45160</v>
      </c>
      <c r="R96" s="74">
        <f>IF(DAY(AugSun1)=1,AugSun1+17,AugSun1+24)</f>
        <v>45161</v>
      </c>
      <c r="S96" s="74">
        <f>IF(DAY(AugSun1)=1,AugSun1+18,AugSun1+25)</f>
        <v>45162</v>
      </c>
      <c r="T96" s="74">
        <f>IF(DAY(AugSun1)=1,AugSun1+19,AugSun1+26)</f>
        <v>45163</v>
      </c>
      <c r="U96" s="74">
        <f>IF(DAY(AugSun1)=1,AugSun1+20,AugSun1+27)</f>
        <v>45164</v>
      </c>
      <c r="V96" s="74">
        <f>IF(DAY(AugSun1)=1,AugSun1+21,AugSun1+28)</f>
        <v>45165</v>
      </c>
      <c r="W96" s="4"/>
    </row>
    <row r="97" spans="1:23" hidden="1" outlineLevel="1">
      <c r="A97" s="4"/>
      <c r="B97" s="4"/>
      <c r="C97" s="294"/>
      <c r="D97" s="290"/>
      <c r="E97" s="291"/>
      <c r="F97" s="8"/>
      <c r="G97" s="294"/>
      <c r="H97" s="290"/>
      <c r="I97" s="291"/>
      <c r="J97" s="8"/>
      <c r="K97" s="294"/>
      <c r="L97" s="295"/>
      <c r="M97" s="296"/>
      <c r="N97" s="8"/>
      <c r="O97" s="54"/>
      <c r="P97" s="74">
        <f>IF(DAY(AugSun1)=1,AugSun1+22,AugSun1+29)</f>
        <v>45166</v>
      </c>
      <c r="Q97" s="74">
        <f>IF(DAY(AugSun1)=1,AugSun1+23,AugSun1+30)</f>
        <v>45167</v>
      </c>
      <c r="R97" s="74">
        <f>IF(DAY(AugSun1)=1,AugSun1+24,AugSun1+31)</f>
        <v>45168</v>
      </c>
      <c r="S97" s="74">
        <f>IF(DAY(AugSun1)=1,AugSun1+25,AugSun1+32)</f>
        <v>45169</v>
      </c>
      <c r="T97" s="74">
        <f>IF(DAY(AugSun1)=1,AugSun1+26,AugSun1+33)</f>
        <v>45170</v>
      </c>
      <c r="U97" s="74">
        <f>IF(DAY(AugSun1)=1,AugSun1+27,AugSun1+34)</f>
        <v>45171</v>
      </c>
      <c r="V97" s="74">
        <f>IF(DAY(AugSun1)=1,AugSun1+28,AugSun1+35)</f>
        <v>45172</v>
      </c>
      <c r="W97" s="4"/>
    </row>
    <row r="98" spans="1:23" hidden="1" outlineLevel="1">
      <c r="A98" s="4"/>
      <c r="B98" s="4"/>
      <c r="C98" s="294"/>
      <c r="D98" s="290"/>
      <c r="E98" s="291"/>
      <c r="F98" s="8"/>
      <c r="G98" s="294"/>
      <c r="H98" s="290"/>
      <c r="I98" s="291"/>
      <c r="J98" s="8"/>
      <c r="K98" s="294"/>
      <c r="L98" s="295"/>
      <c r="M98" s="296"/>
      <c r="N98" s="8"/>
      <c r="O98" s="75"/>
      <c r="P98" s="74">
        <f>IF(DAY(AugSun1)=1,AugSun1+29,AugSun1+36)</f>
        <v>45173</v>
      </c>
      <c r="Q98" s="74">
        <f>IF(DAY(AugSun1)=1,AugSun1+30,AugSun1+37)</f>
        <v>45174</v>
      </c>
      <c r="R98" s="74">
        <f>IF(DAY(AugSun1)=1,AugSun1+31,AugSun1+38)</f>
        <v>45175</v>
      </c>
      <c r="S98" s="74">
        <f>IF(DAY(AugSun1)=1,AugSun1+32,AugSun1+39)</f>
        <v>45176</v>
      </c>
      <c r="T98" s="74">
        <f>IF(DAY(AugSun1)=1,AugSun1+33,AugSun1+40)</f>
        <v>45177</v>
      </c>
      <c r="U98" s="74">
        <f>IF(DAY(AugSun1)=1,AugSun1+34,AugSun1+41)</f>
        <v>45178</v>
      </c>
      <c r="V98" s="74">
        <f>IF(DAY(AugSun1)=1,AugSun1+35,AugSun1+42)</f>
        <v>45179</v>
      </c>
      <c r="W98" s="4"/>
    </row>
    <row r="99" spans="1:23" hidden="1" outlineLevel="1">
      <c r="A99" s="4"/>
      <c r="B99" s="4"/>
      <c r="C99" s="294"/>
      <c r="D99" s="290"/>
      <c r="E99" s="293"/>
      <c r="F99" s="8"/>
      <c r="G99" s="294"/>
      <c r="H99" s="290"/>
      <c r="I99" s="293"/>
      <c r="J99" s="8"/>
      <c r="K99" s="297"/>
      <c r="L99" s="298"/>
      <c r="M99" s="299"/>
      <c r="N99" s="8"/>
      <c r="O99" s="4"/>
      <c r="P99" s="4"/>
      <c r="Q99" s="4"/>
      <c r="R99" s="4"/>
      <c r="S99" s="4"/>
      <c r="T99" s="4"/>
      <c r="U99" s="4"/>
      <c r="V99" s="4"/>
      <c r="W99" s="4"/>
    </row>
    <row r="100" spans="1:23" hidden="1" outlineLevel="1">
      <c r="A100" s="4"/>
      <c r="B100" s="4"/>
      <c r="C100" s="294" t="s">
        <v>1901</v>
      </c>
      <c r="D100" s="290">
        <v>13</v>
      </c>
      <c r="E100" s="291" t="s">
        <v>1920</v>
      </c>
      <c r="F100" s="8"/>
      <c r="G100" s="294" t="s">
        <v>1901</v>
      </c>
      <c r="H100" s="290"/>
      <c r="I100" s="291"/>
      <c r="J100" s="8"/>
      <c r="K100" s="294" t="s">
        <v>1901</v>
      </c>
      <c r="L100" s="295">
        <v>7</v>
      </c>
      <c r="M100" s="296" t="s">
        <v>1908</v>
      </c>
      <c r="N100" s="8"/>
      <c r="O100" s="4"/>
      <c r="P100" s="4"/>
      <c r="Q100" s="4"/>
      <c r="R100" s="4"/>
      <c r="S100" s="4"/>
      <c r="T100" s="4"/>
      <c r="U100" s="4"/>
      <c r="V100" s="4"/>
      <c r="W100" s="4"/>
    </row>
    <row r="101" spans="1:23" hidden="1" outlineLevel="1">
      <c r="A101" s="4"/>
      <c r="B101" s="4"/>
      <c r="C101" s="294"/>
      <c r="D101" s="290">
        <v>20</v>
      </c>
      <c r="E101" s="291" t="s">
        <v>1921</v>
      </c>
      <c r="F101" s="8"/>
      <c r="G101" s="294"/>
      <c r="H101" s="290"/>
      <c r="I101" s="291"/>
      <c r="J101" s="8"/>
      <c r="K101" s="294"/>
      <c r="L101" s="295"/>
      <c r="M101" s="296"/>
      <c r="N101" s="8"/>
      <c r="O101" s="4"/>
      <c r="P101" s="4"/>
      <c r="Q101" s="4"/>
      <c r="R101" s="4"/>
      <c r="S101" s="4"/>
      <c r="T101" s="4"/>
      <c r="U101" s="4"/>
      <c r="V101" s="4"/>
      <c r="W101" s="4"/>
    </row>
    <row r="102" spans="1:23" hidden="1" outlineLevel="1">
      <c r="A102" s="4"/>
      <c r="B102" s="4"/>
      <c r="C102" s="294"/>
      <c r="D102" s="290"/>
      <c r="E102" s="291"/>
      <c r="F102" s="8"/>
      <c r="G102" s="294"/>
      <c r="H102" s="290"/>
      <c r="I102" s="291"/>
      <c r="J102" s="8"/>
      <c r="K102" s="294"/>
      <c r="L102" s="295"/>
      <c r="M102" s="296"/>
      <c r="N102" s="8"/>
      <c r="O102" s="4"/>
      <c r="P102" s="4"/>
      <c r="Q102" s="4"/>
      <c r="R102" s="4"/>
      <c r="S102" s="4"/>
      <c r="T102" s="4"/>
      <c r="U102" s="4"/>
      <c r="V102" s="4"/>
      <c r="W102" s="4"/>
    </row>
    <row r="103" spans="1:23" hidden="1" outlineLevel="1">
      <c r="A103" s="4"/>
      <c r="B103" s="4"/>
      <c r="C103" s="294"/>
      <c r="D103" s="290"/>
      <c r="E103" s="291"/>
      <c r="F103" s="8"/>
      <c r="G103" s="294"/>
      <c r="H103" s="290"/>
      <c r="I103" s="291"/>
      <c r="J103" s="8"/>
      <c r="K103" s="294"/>
      <c r="L103" s="295"/>
      <c r="M103" s="296"/>
      <c r="N103" s="8"/>
      <c r="O103" s="4"/>
      <c r="P103" s="4"/>
      <c r="Q103" s="4"/>
      <c r="R103" s="4"/>
      <c r="S103" s="4"/>
      <c r="T103" s="4"/>
      <c r="U103" s="4"/>
      <c r="V103" s="4"/>
      <c r="W103" s="4"/>
    </row>
    <row r="104" spans="1:23" hidden="1" outlineLevel="1">
      <c r="A104" s="4"/>
      <c r="B104" s="4"/>
      <c r="C104" s="294"/>
      <c r="D104" s="290"/>
      <c r="E104" s="291"/>
      <c r="F104" s="8"/>
      <c r="G104" s="294"/>
      <c r="H104" s="290"/>
      <c r="I104" s="291"/>
      <c r="J104" s="8"/>
      <c r="K104" s="294"/>
      <c r="L104" s="295"/>
      <c r="M104" s="296"/>
      <c r="N104" s="8"/>
      <c r="O104" s="8"/>
      <c r="P104" s="8"/>
      <c r="Q104" s="8"/>
      <c r="R104" s="8"/>
      <c r="S104" s="8"/>
      <c r="T104" s="8"/>
      <c r="U104" s="8"/>
      <c r="V104" s="8"/>
      <c r="W104" s="4"/>
    </row>
    <row r="105" spans="1:23" ht="21" hidden="1" outlineLevel="1">
      <c r="A105" s="4"/>
      <c r="B105" s="4"/>
      <c r="C105" s="294"/>
      <c r="D105" s="290"/>
      <c r="E105" s="293"/>
      <c r="F105" s="8"/>
      <c r="G105" s="294"/>
      <c r="H105" s="290"/>
      <c r="I105" s="293"/>
      <c r="J105" s="8"/>
      <c r="K105" s="297"/>
      <c r="L105" s="298"/>
      <c r="M105" s="299"/>
      <c r="N105" s="8"/>
      <c r="O105" s="304" t="s">
        <v>1942</v>
      </c>
      <c r="P105" s="303" t="s">
        <v>1898</v>
      </c>
      <c r="Q105" s="303" t="s">
        <v>1899</v>
      </c>
      <c r="R105" s="303" t="s">
        <v>1900</v>
      </c>
      <c r="S105" s="303" t="s">
        <v>1901</v>
      </c>
      <c r="T105" s="303" t="s">
        <v>1902</v>
      </c>
      <c r="U105" s="303" t="s">
        <v>1903</v>
      </c>
      <c r="V105" s="303" t="s">
        <v>1904</v>
      </c>
      <c r="W105" s="4"/>
    </row>
    <row r="106" spans="1:23" ht="15.6" hidden="1" outlineLevel="1">
      <c r="A106" s="4"/>
      <c r="B106" s="4"/>
      <c r="C106" s="294" t="s">
        <v>1902</v>
      </c>
      <c r="D106" s="290"/>
      <c r="E106" s="291"/>
      <c r="F106" s="8"/>
      <c r="G106" s="294" t="s">
        <v>1902</v>
      </c>
      <c r="H106" s="290"/>
      <c r="I106" s="291"/>
      <c r="J106" s="8"/>
      <c r="K106" s="294" t="s">
        <v>1902</v>
      </c>
      <c r="L106" s="295">
        <v>29</v>
      </c>
      <c r="M106" s="296" t="s">
        <v>1924</v>
      </c>
      <c r="N106" s="8"/>
      <c r="O106" s="54"/>
      <c r="P106" s="77">
        <f>IF(DAY(SepSun1)=1,SepSun1-6,SepSun1+1)</f>
        <v>45166</v>
      </c>
      <c r="Q106" s="77">
        <f>IF(DAY(SepSun1)=1,SepSun1-5,SepSun1+2)</f>
        <v>45167</v>
      </c>
      <c r="R106" s="77">
        <f>IF(DAY(SepSun1)=1,SepSun1-4,SepSun1+3)</f>
        <v>45168</v>
      </c>
      <c r="S106" s="77">
        <f>IF(DAY(SepSun1)=1,SepSun1-3,SepSun1+4)</f>
        <v>45169</v>
      </c>
      <c r="T106" s="77">
        <f>IF(DAY(SepSun1)=1,SepSun1-2,SepSun1+5)</f>
        <v>45170</v>
      </c>
      <c r="U106" s="77">
        <f>IF(DAY(SepSun1)=1,SepSun1-1,SepSun1+6)</f>
        <v>45171</v>
      </c>
      <c r="V106" s="77">
        <f>IF(DAY(SepSun1)=1,SepSun1,SepSun1+7)</f>
        <v>45172</v>
      </c>
      <c r="W106" s="4"/>
    </row>
    <row r="107" spans="1:23" ht="15.6" hidden="1" outlineLevel="1">
      <c r="A107" s="4"/>
      <c r="B107" s="4"/>
      <c r="C107" s="294"/>
      <c r="D107" s="290"/>
      <c r="E107" s="291"/>
      <c r="F107" s="8"/>
      <c r="G107" s="294"/>
      <c r="H107" s="290"/>
      <c r="I107" s="291"/>
      <c r="J107" s="8"/>
      <c r="K107" s="294"/>
      <c r="L107" s="295"/>
      <c r="M107" s="296"/>
      <c r="N107" s="8"/>
      <c r="O107" s="54"/>
      <c r="P107" s="77">
        <f>IF(DAY(SepSun1)=1,SepSun1+1,SepSun1+8)</f>
        <v>45173</v>
      </c>
      <c r="Q107" s="77">
        <f>IF(DAY(SepSun1)=1,SepSun1+2,SepSun1+9)</f>
        <v>45174</v>
      </c>
      <c r="R107" s="77">
        <f>IF(DAY(SepSun1)=1,SepSun1+3,SepSun1+10)</f>
        <v>45175</v>
      </c>
      <c r="S107" s="77">
        <f>IF(DAY(SepSun1)=1,SepSun1+4,SepSun1+11)</f>
        <v>45176</v>
      </c>
      <c r="T107" s="77">
        <f>IF(DAY(SepSun1)=1,SepSun1+5,SepSun1+12)</f>
        <v>45177</v>
      </c>
      <c r="U107" s="77">
        <f>IF(DAY(SepSun1)=1,SepSun1+6,SepSun1+13)</f>
        <v>45178</v>
      </c>
      <c r="V107" s="77">
        <f>IF(DAY(SepSun1)=1,SepSun1+7,SepSun1+14)</f>
        <v>45179</v>
      </c>
      <c r="W107" s="4"/>
    </row>
    <row r="108" spans="1:23" ht="15.6" hidden="1" outlineLevel="1">
      <c r="A108" s="4"/>
      <c r="B108" s="4"/>
      <c r="C108" s="294"/>
      <c r="D108" s="290"/>
      <c r="E108" s="291"/>
      <c r="F108" s="8"/>
      <c r="G108" s="294"/>
      <c r="H108" s="290"/>
      <c r="I108" s="291"/>
      <c r="J108" s="8"/>
      <c r="K108" s="294"/>
      <c r="L108" s="295"/>
      <c r="M108" s="296"/>
      <c r="N108" s="8"/>
      <c r="O108" s="54"/>
      <c r="P108" s="77">
        <f>IF(DAY(SepSun1)=1,SepSun1+8,SepSun1+15)</f>
        <v>45180</v>
      </c>
      <c r="Q108" s="77">
        <f>IF(DAY(SepSun1)=1,SepSun1+9,SepSun1+16)</f>
        <v>45181</v>
      </c>
      <c r="R108" s="77">
        <f>IF(DAY(SepSun1)=1,SepSun1+10,SepSun1+17)</f>
        <v>45182</v>
      </c>
      <c r="S108" s="77">
        <f>IF(DAY(SepSun1)=1,SepSun1+11,SepSun1+18)</f>
        <v>45183</v>
      </c>
      <c r="T108" s="77">
        <f>IF(DAY(SepSun1)=1,SepSun1+12,SepSun1+19)</f>
        <v>45184</v>
      </c>
      <c r="U108" s="77">
        <f>IF(DAY(SepSun1)=1,SepSun1+13,SepSun1+20)</f>
        <v>45185</v>
      </c>
      <c r="V108" s="77">
        <f>IF(DAY(SepSun1)=1,SepSun1+14,SepSun1+21)</f>
        <v>45186</v>
      </c>
      <c r="W108" s="4"/>
    </row>
    <row r="109" spans="1:23" ht="15.6" hidden="1" outlineLevel="1">
      <c r="A109" s="4"/>
      <c r="B109" s="4"/>
      <c r="C109" s="294"/>
      <c r="D109" s="290"/>
      <c r="E109" s="291"/>
      <c r="F109" s="8"/>
      <c r="G109" s="294"/>
      <c r="H109" s="290"/>
      <c r="I109" s="291"/>
      <c r="J109" s="8"/>
      <c r="K109" s="294"/>
      <c r="L109" s="295"/>
      <c r="M109" s="296"/>
      <c r="N109" s="8"/>
      <c r="O109" s="54"/>
      <c r="P109" s="77">
        <f>IF(DAY(SepSun1)=1,SepSun1+15,SepSun1+22)</f>
        <v>45187</v>
      </c>
      <c r="Q109" s="77">
        <f>IF(DAY(SepSun1)=1,SepSun1+16,SepSun1+23)</f>
        <v>45188</v>
      </c>
      <c r="R109" s="77">
        <f>IF(DAY(SepSun1)=1,SepSun1+17,SepSun1+24)</f>
        <v>45189</v>
      </c>
      <c r="S109" s="77">
        <f>IF(DAY(SepSun1)=1,SepSun1+18,SepSun1+25)</f>
        <v>45190</v>
      </c>
      <c r="T109" s="77">
        <f>IF(DAY(SepSun1)=1,SepSun1+19,SepSun1+26)</f>
        <v>45191</v>
      </c>
      <c r="U109" s="77">
        <f>IF(DAY(SepSun1)=1,SepSun1+20,SepSun1+27)</f>
        <v>45192</v>
      </c>
      <c r="V109" s="77">
        <f>IF(DAY(SepSun1)=1,SepSun1+21,SepSun1+28)</f>
        <v>45193</v>
      </c>
      <c r="W109" s="4"/>
    </row>
    <row r="110" spans="1:23" ht="15.6" hidden="1" outlineLevel="1">
      <c r="A110" s="4"/>
      <c r="B110" s="4"/>
      <c r="C110" s="294"/>
      <c r="D110" s="290"/>
      <c r="E110" s="291"/>
      <c r="F110" s="8"/>
      <c r="G110" s="294"/>
      <c r="H110" s="290"/>
      <c r="I110" s="291"/>
      <c r="J110" s="8"/>
      <c r="K110" s="294"/>
      <c r="L110" s="295"/>
      <c r="M110" s="296"/>
      <c r="N110" s="8"/>
      <c r="O110" s="54"/>
      <c r="P110" s="77">
        <f>IF(DAY(SepSun1)=1,SepSun1+22,SepSun1+29)</f>
        <v>45194</v>
      </c>
      <c r="Q110" s="77">
        <f>IF(DAY(SepSun1)=1,SepSun1+23,SepSun1+30)</f>
        <v>45195</v>
      </c>
      <c r="R110" s="77">
        <f>IF(DAY(SepSun1)=1,SepSun1+24,SepSun1+31)</f>
        <v>45196</v>
      </c>
      <c r="S110" s="77">
        <f>IF(DAY(SepSun1)=1,SepSun1+25,SepSun1+32)</f>
        <v>45197</v>
      </c>
      <c r="T110" s="77">
        <f>IF(DAY(SepSun1)=1,SepSun1+26,SepSun1+33)</f>
        <v>45198</v>
      </c>
      <c r="U110" s="77">
        <f>IF(DAY(SepSun1)=1,SepSun1+27,SepSun1+34)</f>
        <v>45199</v>
      </c>
      <c r="V110" s="77">
        <f>IF(DAY(SepSun1)=1,SepSun1+28,SepSun1+35)</f>
        <v>45200</v>
      </c>
      <c r="W110" s="4"/>
    </row>
    <row r="111" spans="1:23" ht="15.6" hidden="1" outlineLevel="1">
      <c r="A111" s="4"/>
      <c r="B111" s="4"/>
      <c r="C111" s="294"/>
      <c r="D111" s="290"/>
      <c r="E111" s="291"/>
      <c r="F111" s="8"/>
      <c r="G111" s="294"/>
      <c r="H111" s="290"/>
      <c r="I111" s="291"/>
      <c r="J111" s="8"/>
      <c r="K111" s="294"/>
      <c r="L111" s="295"/>
      <c r="M111" s="300"/>
      <c r="N111" s="8"/>
      <c r="O111" s="75"/>
      <c r="P111" s="77">
        <f>IF(DAY(SepSun1)=1,SepSun1+29,SepSun1+36)</f>
        <v>45201</v>
      </c>
      <c r="Q111" s="77">
        <f>IF(DAY(SepSun1)=1,SepSun1+30,SepSun1+37)</f>
        <v>45202</v>
      </c>
      <c r="R111" s="77">
        <f>IF(DAY(SepSun1)=1,SepSun1+31,SepSun1+38)</f>
        <v>45203</v>
      </c>
      <c r="S111" s="77">
        <f>IF(DAY(SepSun1)=1,SepSun1+32,SepSun1+39)</f>
        <v>45204</v>
      </c>
      <c r="T111" s="77">
        <f>IF(DAY(SepSun1)=1,SepSun1+33,SepSun1+40)</f>
        <v>45205</v>
      </c>
      <c r="U111" s="77">
        <f>IF(DAY(SepSun1)=1,SepSun1+34,SepSun1+41)</f>
        <v>45206</v>
      </c>
      <c r="V111" s="77">
        <f>IF(DAY(SepSun1)=1,SepSun1+35,SepSun1+42)</f>
        <v>45207</v>
      </c>
      <c r="W111" s="4"/>
    </row>
    <row r="112" spans="1:23" hidden="1" outlineLevel="1">
      <c r="A112" s="4"/>
      <c r="B112" s="4"/>
      <c r="C112" s="4"/>
      <c r="D112" s="4"/>
      <c r="E112" s="4"/>
      <c r="F112" s="4"/>
      <c r="G112" s="4"/>
      <c r="H112" s="4"/>
      <c r="I112" s="4"/>
      <c r="J112" s="4"/>
      <c r="K112" s="4"/>
      <c r="L112" s="4"/>
      <c r="M112" s="4"/>
      <c r="N112" s="4"/>
      <c r="O112" s="4"/>
      <c r="P112" s="4"/>
      <c r="Q112" s="4"/>
      <c r="R112" s="4"/>
      <c r="S112" s="4"/>
      <c r="T112" s="4"/>
      <c r="U112" s="4"/>
      <c r="V112" s="4"/>
      <c r="W112" s="4"/>
    </row>
    <row r="113" spans="1:23" ht="21" collapsed="1">
      <c r="A113" s="4"/>
      <c r="B113" s="4"/>
      <c r="C113" s="712" t="s">
        <v>1943</v>
      </c>
      <c r="D113" s="712"/>
      <c r="E113" s="712"/>
      <c r="F113" s="712"/>
      <c r="G113" s="712"/>
      <c r="H113" s="712"/>
      <c r="I113" s="712"/>
      <c r="J113" s="712"/>
      <c r="K113" s="712"/>
      <c r="L113" s="712"/>
      <c r="M113" s="712"/>
      <c r="N113" s="712"/>
      <c r="O113" s="712"/>
      <c r="P113" s="712"/>
      <c r="Q113" s="712"/>
      <c r="R113" s="712"/>
      <c r="S113" s="712"/>
      <c r="T113" s="712"/>
      <c r="U113" s="712"/>
      <c r="V113" s="712"/>
      <c r="W113" s="4"/>
    </row>
    <row r="114" spans="1:23" ht="21" hidden="1" outlineLevel="1">
      <c r="A114" s="4"/>
      <c r="B114" s="4"/>
      <c r="C114" s="73"/>
      <c r="D114" s="72"/>
      <c r="E114" s="55"/>
      <c r="F114" s="8"/>
      <c r="G114" s="8"/>
      <c r="H114" s="8"/>
      <c r="I114" s="8"/>
      <c r="J114" s="8"/>
      <c r="K114" s="8"/>
      <c r="L114" s="8"/>
      <c r="M114" s="8"/>
      <c r="N114" s="8"/>
      <c r="O114" s="8"/>
      <c r="P114" s="8"/>
      <c r="Q114" s="8"/>
      <c r="R114" s="8"/>
      <c r="S114" s="8"/>
      <c r="T114" s="8"/>
      <c r="U114" s="8"/>
      <c r="V114" s="8"/>
      <c r="W114" s="4"/>
    </row>
    <row r="115" spans="1:23" ht="21" hidden="1" outlineLevel="1">
      <c r="A115" s="4"/>
      <c r="B115" s="4"/>
      <c r="C115" s="710" t="s">
        <v>1944</v>
      </c>
      <c r="D115" s="710"/>
      <c r="E115" s="710"/>
      <c r="F115" s="55"/>
      <c r="G115" s="711" t="s">
        <v>1945</v>
      </c>
      <c r="H115" s="711"/>
      <c r="I115" s="711"/>
      <c r="J115" s="55"/>
      <c r="K115" s="711" t="s">
        <v>1946</v>
      </c>
      <c r="L115" s="711"/>
      <c r="M115" s="711"/>
      <c r="N115" s="8"/>
      <c r="O115" s="304" t="s">
        <v>1947</v>
      </c>
      <c r="P115" s="301" t="s">
        <v>1898</v>
      </c>
      <c r="Q115" s="301" t="s">
        <v>1899</v>
      </c>
      <c r="R115" s="301" t="s">
        <v>1900</v>
      </c>
      <c r="S115" s="301" t="s">
        <v>1901</v>
      </c>
      <c r="T115" s="301" t="s">
        <v>1902</v>
      </c>
      <c r="U115" s="301" t="s">
        <v>1903</v>
      </c>
      <c r="V115" s="301" t="s">
        <v>1904</v>
      </c>
      <c r="W115" s="4"/>
    </row>
    <row r="116" spans="1:23" hidden="1" outlineLevel="1">
      <c r="A116" s="4"/>
      <c r="B116" s="4"/>
      <c r="C116" s="289" t="s">
        <v>1905</v>
      </c>
      <c r="D116" s="289" t="s">
        <v>1906</v>
      </c>
      <c r="E116" s="289" t="s">
        <v>1907</v>
      </c>
      <c r="F116" s="55"/>
      <c r="G116" s="289" t="s">
        <v>1905</v>
      </c>
      <c r="H116" s="289" t="s">
        <v>1906</v>
      </c>
      <c r="I116" s="289" t="s">
        <v>1907</v>
      </c>
      <c r="J116" s="55"/>
      <c r="K116" s="289" t="s">
        <v>1905</v>
      </c>
      <c r="L116" s="289" t="s">
        <v>1906</v>
      </c>
      <c r="M116" s="289" t="s">
        <v>1907</v>
      </c>
      <c r="N116" s="8"/>
      <c r="O116" s="54"/>
      <c r="P116" s="74">
        <f>IF(DAY(OctSun1)=1,OctSun1-6,OctSun1+1)</f>
        <v>45194</v>
      </c>
      <c r="Q116" s="74">
        <f>IF(DAY(OctSun1)=1,OctSun1-5,OctSun1+2)</f>
        <v>45195</v>
      </c>
      <c r="R116" s="74">
        <f>IF(DAY(OctSun1)=1,OctSun1-4,OctSun1+3)</f>
        <v>45196</v>
      </c>
      <c r="S116" s="74">
        <f>IF(DAY(OctSun1)=1,OctSun1-3,OctSun1+4)</f>
        <v>45197</v>
      </c>
      <c r="T116" s="74">
        <f>IF(DAY(OctSun1)=1,OctSun1-2,OctSun1+5)</f>
        <v>45198</v>
      </c>
      <c r="U116" s="74">
        <f>IF(DAY(OctSun1)=1,OctSun1-1,OctSun1+6)</f>
        <v>45199</v>
      </c>
      <c r="V116" s="74">
        <f>IF(DAY(OctSun1)=1,OctSun1,OctSun1+7)</f>
        <v>45200</v>
      </c>
      <c r="W116" s="4"/>
    </row>
    <row r="117" spans="1:23" ht="29.1" hidden="1" outlineLevel="1">
      <c r="A117" s="4"/>
      <c r="B117" s="4"/>
      <c r="C117" s="294" t="s">
        <v>1898</v>
      </c>
      <c r="D117" s="290">
        <v>2</v>
      </c>
      <c r="E117" s="291" t="s">
        <v>1908</v>
      </c>
      <c r="F117" s="8"/>
      <c r="G117" s="294" t="s">
        <v>1898</v>
      </c>
      <c r="H117" s="290">
        <v>6</v>
      </c>
      <c r="I117" s="291" t="s">
        <v>1909</v>
      </c>
      <c r="J117" s="8"/>
      <c r="K117" s="294" t="s">
        <v>1898</v>
      </c>
      <c r="L117" s="295">
        <v>11</v>
      </c>
      <c r="M117" s="296" t="s">
        <v>1910</v>
      </c>
      <c r="N117" s="8"/>
      <c r="O117" s="54"/>
      <c r="P117" s="74">
        <f>IF(DAY(OctSun1)=1,OctSun1+1,OctSun1+8)</f>
        <v>45201</v>
      </c>
      <c r="Q117" s="74">
        <f>IF(DAY(OctSun1)=1,OctSun1+2,OctSun1+9)</f>
        <v>45202</v>
      </c>
      <c r="R117" s="74">
        <f>IF(DAY(OctSun1)=1,OctSun1+3,OctSun1+10)</f>
        <v>45203</v>
      </c>
      <c r="S117" s="74">
        <f>IF(DAY(OctSun1)=1,OctSun1+4,OctSun1+11)</f>
        <v>45204</v>
      </c>
      <c r="T117" s="74">
        <f>IF(DAY(OctSun1)=1,OctSun1+5,OctSun1+12)</f>
        <v>45205</v>
      </c>
      <c r="U117" s="74">
        <f>IF(DAY(OctSun1)=1,OctSun1+6,OctSun1+13)</f>
        <v>45206</v>
      </c>
      <c r="V117" s="74">
        <f>IF(DAY(OctSun1)=1,OctSun1+7,OctSun1+14)</f>
        <v>45207</v>
      </c>
      <c r="W117" s="4"/>
    </row>
    <row r="118" spans="1:23" hidden="1" outlineLevel="1">
      <c r="A118" s="4"/>
      <c r="B118" s="4"/>
      <c r="C118" s="294"/>
      <c r="D118" s="290">
        <v>9</v>
      </c>
      <c r="E118" s="291" t="s">
        <v>1911</v>
      </c>
      <c r="F118" s="8"/>
      <c r="G118" s="294"/>
      <c r="H118" s="290"/>
      <c r="I118" s="291"/>
      <c r="J118" s="8"/>
      <c r="K118" s="294"/>
      <c r="L118" s="295">
        <v>18</v>
      </c>
      <c r="M118" s="296" t="s">
        <v>1948</v>
      </c>
      <c r="N118" s="8"/>
      <c r="O118" s="54"/>
      <c r="P118" s="74">
        <f>IF(DAY(OctSun1)=1,OctSun1+8,OctSun1+15)</f>
        <v>45208</v>
      </c>
      <c r="Q118" s="74">
        <f>IF(DAY(OctSun1)=1,OctSun1+9,OctSun1+16)</f>
        <v>45209</v>
      </c>
      <c r="R118" s="74">
        <f>IF(DAY(OctSun1)=1,OctSun1+10,OctSun1+17)</f>
        <v>45210</v>
      </c>
      <c r="S118" s="74">
        <f>IF(DAY(OctSun1)=1,OctSun1+11,OctSun1+18)</f>
        <v>45211</v>
      </c>
      <c r="T118" s="74">
        <f>IF(DAY(OctSun1)=1,OctSun1+12,OctSun1+19)</f>
        <v>45212</v>
      </c>
      <c r="U118" s="74">
        <f>IF(DAY(OctSun1)=1,OctSun1+13,OctSun1+20)</f>
        <v>45213</v>
      </c>
      <c r="V118" s="74">
        <f>IF(DAY(OctSun1)=1,OctSun1+14,OctSun1+21)</f>
        <v>45214</v>
      </c>
      <c r="W118" s="4"/>
    </row>
    <row r="119" spans="1:23" hidden="1" outlineLevel="1">
      <c r="A119" s="4"/>
      <c r="B119" s="4"/>
      <c r="C119" s="294"/>
      <c r="D119" s="290"/>
      <c r="E119" s="291"/>
      <c r="F119" s="8"/>
      <c r="G119" s="294"/>
      <c r="H119" s="290"/>
      <c r="I119" s="291"/>
      <c r="J119" s="8"/>
      <c r="K119" s="294"/>
      <c r="L119" s="295">
        <v>25</v>
      </c>
      <c r="M119" s="296" t="s">
        <v>1948</v>
      </c>
      <c r="N119" s="8"/>
      <c r="O119" s="54"/>
      <c r="P119" s="74">
        <f>IF(DAY(OctSun1)=1,OctSun1+15,OctSun1+22)</f>
        <v>45215</v>
      </c>
      <c r="Q119" s="74">
        <f>IF(DAY(OctSun1)=1,OctSun1+16,OctSun1+23)</f>
        <v>45216</v>
      </c>
      <c r="R119" s="74">
        <f>IF(DAY(OctSun1)=1,OctSun1+17,OctSun1+24)</f>
        <v>45217</v>
      </c>
      <c r="S119" s="74">
        <f>IF(DAY(OctSun1)=1,OctSun1+18,OctSun1+25)</f>
        <v>45218</v>
      </c>
      <c r="T119" s="74">
        <f>IF(DAY(OctSun1)=1,OctSun1+19,OctSun1+26)</f>
        <v>45219</v>
      </c>
      <c r="U119" s="74">
        <f>IF(DAY(OctSun1)=1,OctSun1+20,OctSun1+27)</f>
        <v>45220</v>
      </c>
      <c r="V119" s="74">
        <f>IF(DAY(OctSun1)=1,OctSun1+21,OctSun1+28)</f>
        <v>45221</v>
      </c>
      <c r="W119" s="4"/>
    </row>
    <row r="120" spans="1:23" hidden="1" outlineLevel="1">
      <c r="A120" s="4"/>
      <c r="B120" s="4"/>
      <c r="C120" s="294"/>
      <c r="D120" s="290"/>
      <c r="E120" s="291"/>
      <c r="F120" s="8"/>
      <c r="G120" s="294"/>
      <c r="H120" s="290"/>
      <c r="I120" s="291"/>
      <c r="J120" s="8"/>
      <c r="K120" s="294"/>
      <c r="L120" s="295"/>
      <c r="M120" s="296"/>
      <c r="N120" s="8"/>
      <c r="O120" s="54"/>
      <c r="P120" s="74">
        <f>IF(DAY(OctSun1)=1,OctSun1+22,OctSun1+29)</f>
        <v>45222</v>
      </c>
      <c r="Q120" s="74">
        <f>IF(DAY(OctSun1)=1,OctSun1+23,OctSun1+30)</f>
        <v>45223</v>
      </c>
      <c r="R120" s="74">
        <f>IF(DAY(OctSun1)=1,OctSun1+24,OctSun1+31)</f>
        <v>45224</v>
      </c>
      <c r="S120" s="74">
        <f>IF(DAY(OctSun1)=1,OctSun1+25,OctSun1+32)</f>
        <v>45225</v>
      </c>
      <c r="T120" s="74">
        <f>IF(DAY(OctSun1)=1,OctSun1+26,OctSun1+33)</f>
        <v>45226</v>
      </c>
      <c r="U120" s="74">
        <f>IF(DAY(OctSun1)=1,OctSun1+27,OctSun1+34)</f>
        <v>45227</v>
      </c>
      <c r="V120" s="74">
        <f>IF(DAY(OctSun1)=1,OctSun1+28,OctSun1+35)</f>
        <v>45228</v>
      </c>
      <c r="W120" s="4"/>
    </row>
    <row r="121" spans="1:23" hidden="1" outlineLevel="1">
      <c r="A121" s="4"/>
      <c r="B121" s="4"/>
      <c r="C121" s="294"/>
      <c r="D121" s="290"/>
      <c r="E121" s="291"/>
      <c r="F121" s="8"/>
      <c r="G121" s="294"/>
      <c r="H121" s="290"/>
      <c r="I121" s="291"/>
      <c r="J121" s="8"/>
      <c r="K121" s="294"/>
      <c r="L121" s="295"/>
      <c r="M121" s="296"/>
      <c r="N121" s="8"/>
      <c r="O121" s="75"/>
      <c r="P121" s="76">
        <f>IF(DAY(OctSun1)=1,OctSun1+29,OctSun1+36)</f>
        <v>45229</v>
      </c>
      <c r="Q121" s="76">
        <f>IF(DAY(OctSun1)=1,OctSun1+30,OctSun1+37)</f>
        <v>45230</v>
      </c>
      <c r="R121" s="76">
        <f>IF(DAY(OctSun1)=1,OctSun1+31,OctSun1+38)</f>
        <v>45231</v>
      </c>
      <c r="S121" s="76">
        <f>IF(DAY(OctSun1)=1,OctSun1+32,OctSun1+39)</f>
        <v>45232</v>
      </c>
      <c r="T121" s="76">
        <f>IF(DAY(OctSun1)=1,OctSun1+33,OctSun1+40)</f>
        <v>45233</v>
      </c>
      <c r="U121" s="76">
        <f>IF(DAY(OctSun1)=1,OctSun1+34,OctSun1+41)</f>
        <v>45234</v>
      </c>
      <c r="V121" s="76">
        <f>IF(DAY(OctSun1)=1,OctSun1+35,OctSun1+42)</f>
        <v>45235</v>
      </c>
      <c r="W121" s="4"/>
    </row>
    <row r="122" spans="1:23" hidden="1" outlineLevel="1">
      <c r="A122" s="4"/>
      <c r="B122" s="4"/>
      <c r="C122" s="294"/>
      <c r="D122" s="290"/>
      <c r="E122" s="292"/>
      <c r="F122" s="8"/>
      <c r="G122" s="294"/>
      <c r="H122" s="290"/>
      <c r="I122" s="293"/>
      <c r="J122" s="8"/>
      <c r="K122" s="297"/>
      <c r="L122" s="298"/>
      <c r="M122" s="299"/>
      <c r="N122" s="8"/>
      <c r="O122" s="4"/>
      <c r="P122" s="4"/>
      <c r="Q122" s="4"/>
      <c r="R122" s="4"/>
      <c r="S122" s="4"/>
      <c r="T122" s="4"/>
      <c r="U122" s="4"/>
      <c r="V122" s="4"/>
      <c r="W122" s="4"/>
    </row>
    <row r="123" spans="1:23" hidden="1" outlineLevel="1">
      <c r="A123" s="4"/>
      <c r="B123" s="4"/>
      <c r="C123" s="294" t="s">
        <v>1899</v>
      </c>
      <c r="D123" s="290">
        <v>17</v>
      </c>
      <c r="E123" s="291" t="s">
        <v>1916</v>
      </c>
      <c r="F123" s="8"/>
      <c r="G123" s="294" t="s">
        <v>1899</v>
      </c>
      <c r="H123" s="290">
        <v>14</v>
      </c>
      <c r="I123" s="291" t="s">
        <v>1908</v>
      </c>
      <c r="J123" s="8"/>
      <c r="K123" s="294" t="s">
        <v>1899</v>
      </c>
      <c r="L123" s="295">
        <v>19</v>
      </c>
      <c r="M123" s="296" t="s">
        <v>1948</v>
      </c>
      <c r="N123" s="8"/>
      <c r="O123" s="8"/>
      <c r="P123" s="8"/>
      <c r="Q123" s="8"/>
      <c r="R123" s="8"/>
      <c r="S123" s="8"/>
      <c r="T123" s="8"/>
      <c r="U123" s="8"/>
      <c r="V123" s="8"/>
      <c r="W123" s="4"/>
    </row>
    <row r="124" spans="1:23" hidden="1" outlineLevel="1">
      <c r="A124" s="4"/>
      <c r="B124" s="4"/>
      <c r="C124" s="294"/>
      <c r="D124" s="290">
        <v>24</v>
      </c>
      <c r="E124" s="291" t="s">
        <v>1930</v>
      </c>
      <c r="F124" s="8"/>
      <c r="G124" s="294"/>
      <c r="H124" s="290"/>
      <c r="I124" s="291"/>
      <c r="J124" s="8"/>
      <c r="K124" s="294"/>
      <c r="L124" s="295">
        <v>26</v>
      </c>
      <c r="M124" s="296" t="s">
        <v>1948</v>
      </c>
      <c r="N124" s="8"/>
      <c r="O124" s="4"/>
      <c r="P124" s="4"/>
      <c r="Q124" s="4"/>
      <c r="R124" s="4"/>
      <c r="S124" s="4"/>
      <c r="T124" s="4"/>
      <c r="U124" s="4"/>
      <c r="V124" s="4"/>
      <c r="W124" s="4"/>
    </row>
    <row r="125" spans="1:23" hidden="1" outlineLevel="1">
      <c r="A125" s="4"/>
      <c r="B125" s="4"/>
      <c r="C125" s="294"/>
      <c r="D125" s="290"/>
      <c r="E125" s="291"/>
      <c r="F125" s="8"/>
      <c r="G125" s="294"/>
      <c r="H125" s="290"/>
      <c r="I125" s="291"/>
      <c r="J125" s="8"/>
      <c r="K125" s="294"/>
      <c r="L125" s="295"/>
      <c r="M125" s="296"/>
      <c r="N125" s="8"/>
      <c r="O125" s="4"/>
      <c r="P125" s="4"/>
      <c r="Q125" s="4"/>
      <c r="R125" s="4"/>
      <c r="S125" s="4"/>
      <c r="T125" s="4"/>
      <c r="U125" s="4"/>
      <c r="V125" s="4"/>
      <c r="W125" s="4"/>
    </row>
    <row r="126" spans="1:23" hidden="1" outlineLevel="1">
      <c r="A126" s="4"/>
      <c r="B126" s="4"/>
      <c r="C126" s="294"/>
      <c r="D126" s="290"/>
      <c r="E126" s="291"/>
      <c r="F126" s="8"/>
      <c r="G126" s="294"/>
      <c r="H126" s="290"/>
      <c r="I126" s="291"/>
      <c r="J126" s="8"/>
      <c r="K126" s="294"/>
      <c r="L126" s="295"/>
      <c r="M126" s="296"/>
      <c r="N126" s="8"/>
      <c r="O126" s="4"/>
      <c r="P126" s="4"/>
      <c r="Q126" s="4"/>
      <c r="R126" s="4"/>
      <c r="S126" s="4"/>
      <c r="T126" s="4"/>
      <c r="U126" s="4"/>
      <c r="V126" s="4"/>
      <c r="W126" s="4"/>
    </row>
    <row r="127" spans="1:23" ht="21" hidden="1" outlineLevel="1">
      <c r="A127" s="4"/>
      <c r="B127" s="4"/>
      <c r="C127" s="294"/>
      <c r="D127" s="290"/>
      <c r="E127" s="291"/>
      <c r="F127" s="8"/>
      <c r="G127" s="294"/>
      <c r="H127" s="290"/>
      <c r="I127" s="291"/>
      <c r="J127" s="8"/>
      <c r="K127" s="294"/>
      <c r="L127" s="295"/>
      <c r="M127" s="296"/>
      <c r="N127" s="8"/>
      <c r="O127" s="305" t="s">
        <v>1949</v>
      </c>
      <c r="P127" s="302" t="s">
        <v>1898</v>
      </c>
      <c r="Q127" s="302" t="s">
        <v>1899</v>
      </c>
      <c r="R127" s="302" t="s">
        <v>1900</v>
      </c>
      <c r="S127" s="302" t="s">
        <v>1901</v>
      </c>
      <c r="T127" s="302" t="s">
        <v>1902</v>
      </c>
      <c r="U127" s="302" t="s">
        <v>1903</v>
      </c>
      <c r="V127" s="302" t="s">
        <v>1904</v>
      </c>
      <c r="W127" s="4"/>
    </row>
    <row r="128" spans="1:23" hidden="1" outlineLevel="1">
      <c r="A128" s="4"/>
      <c r="B128" s="4"/>
      <c r="C128" s="294"/>
      <c r="D128" s="290"/>
      <c r="E128" s="292"/>
      <c r="F128" s="8"/>
      <c r="G128" s="294"/>
      <c r="H128" s="290"/>
      <c r="I128" s="293"/>
      <c r="J128" s="8"/>
      <c r="K128" s="297"/>
      <c r="L128" s="298"/>
      <c r="M128" s="299"/>
      <c r="N128" s="8"/>
      <c r="O128" s="54"/>
      <c r="P128" s="74">
        <f>IF(DAY(NovSun1)=1,NovSun1-6,NovSun1+1)</f>
        <v>45229</v>
      </c>
      <c r="Q128" s="74">
        <f>IF(DAY(NovSun1)=1,NovSun1-5,NovSun1+2)</f>
        <v>45230</v>
      </c>
      <c r="R128" s="74">
        <f>IF(DAY(NovSun1)=1,NovSun1-4,NovSun1+3)</f>
        <v>45231</v>
      </c>
      <c r="S128" s="74">
        <f>IF(DAY(NovSun1)=1,NovSun1-3,NovSun1+4)</f>
        <v>45232</v>
      </c>
      <c r="T128" s="74">
        <f>IF(DAY(NovSun1)=1,NovSun1-2,NovSun1+5)</f>
        <v>45233</v>
      </c>
      <c r="U128" s="74">
        <f>IF(DAY(NovSun1)=1,NovSun1-1,NovSun1+6)</f>
        <v>45234</v>
      </c>
      <c r="V128" s="74">
        <f>IF(DAY(NovSun1)=1,NovSun1,NovSun1+7)</f>
        <v>45235</v>
      </c>
      <c r="W128" s="4"/>
    </row>
    <row r="129" spans="1:23" hidden="1" outlineLevel="1">
      <c r="A129" s="4"/>
      <c r="B129" s="4"/>
      <c r="C129" s="294" t="s">
        <v>1900</v>
      </c>
      <c r="D129" s="290">
        <v>25</v>
      </c>
      <c r="E129" s="291" t="s">
        <v>1918</v>
      </c>
      <c r="F129" s="8"/>
      <c r="G129" s="294" t="s">
        <v>1900</v>
      </c>
      <c r="H129" s="290">
        <v>29</v>
      </c>
      <c r="I129" s="291" t="s">
        <v>1950</v>
      </c>
      <c r="J129" s="8"/>
      <c r="K129" s="294" t="s">
        <v>1900</v>
      </c>
      <c r="L129" s="295">
        <v>6</v>
      </c>
      <c r="M129" s="296" t="s">
        <v>1948</v>
      </c>
      <c r="N129" s="8"/>
      <c r="O129" s="54"/>
      <c r="P129" s="74">
        <f>IF(DAY(NovSun1)=1,NovSun1+1,NovSun1+8)</f>
        <v>45236</v>
      </c>
      <c r="Q129" s="74">
        <f>IF(DAY(NovSun1)=1,NovSun1+2,NovSun1+9)</f>
        <v>45237</v>
      </c>
      <c r="R129" s="74">
        <f>IF(DAY(NovSun1)=1,NovSun1+3,NovSun1+10)</f>
        <v>45238</v>
      </c>
      <c r="S129" s="74">
        <f>IF(DAY(NovSun1)=1,NovSun1+4,NovSun1+11)</f>
        <v>45239</v>
      </c>
      <c r="T129" s="74">
        <f>IF(DAY(NovSun1)=1,NovSun1+5,NovSun1+12)</f>
        <v>45240</v>
      </c>
      <c r="U129" s="74">
        <f>IF(DAY(NovSun1)=1,NovSun1+6,NovSun1+13)</f>
        <v>45241</v>
      </c>
      <c r="V129" s="74">
        <f>IF(DAY(NovSun1)=1,NovSun1+7,NovSun1+14)</f>
        <v>45242</v>
      </c>
      <c r="W129" s="4"/>
    </row>
    <row r="130" spans="1:23" hidden="1" outlineLevel="1">
      <c r="A130" s="4"/>
      <c r="B130" s="4"/>
      <c r="C130" s="294"/>
      <c r="D130" s="290"/>
      <c r="E130" s="291"/>
      <c r="F130" s="8"/>
      <c r="G130" s="294"/>
      <c r="H130" s="290"/>
      <c r="I130" s="291"/>
      <c r="J130" s="8"/>
      <c r="K130" s="294"/>
      <c r="L130" s="295">
        <v>20</v>
      </c>
      <c r="M130" s="296" t="s">
        <v>1948</v>
      </c>
      <c r="N130" s="8"/>
      <c r="O130" s="54"/>
      <c r="P130" s="74">
        <f>IF(DAY(NovSun1)=1,NovSun1+8,NovSun1+15)</f>
        <v>45243</v>
      </c>
      <c r="Q130" s="74">
        <f>IF(DAY(NovSun1)=1,NovSun1+9,NovSun1+16)</f>
        <v>45244</v>
      </c>
      <c r="R130" s="74">
        <f>IF(DAY(NovSun1)=1,NovSun1+10,NovSun1+17)</f>
        <v>45245</v>
      </c>
      <c r="S130" s="74">
        <f>IF(DAY(NovSun1)=1,NovSun1+11,NovSun1+18)</f>
        <v>45246</v>
      </c>
      <c r="T130" s="74">
        <f>IF(DAY(NovSun1)=1,NovSun1+12,NovSun1+19)</f>
        <v>45247</v>
      </c>
      <c r="U130" s="74">
        <f>IF(DAY(NovSun1)=1,NovSun1+13,NovSun1+20)</f>
        <v>45248</v>
      </c>
      <c r="V130" s="74">
        <f>IF(DAY(NovSun1)=1,NovSun1+14,NovSun1+21)</f>
        <v>45249</v>
      </c>
      <c r="W130" s="4"/>
    </row>
    <row r="131" spans="1:23" hidden="1" outlineLevel="1">
      <c r="A131" s="4"/>
      <c r="B131" s="4"/>
      <c r="C131" s="294"/>
      <c r="D131" s="290"/>
      <c r="E131" s="291"/>
      <c r="F131" s="8"/>
      <c r="G131" s="294"/>
      <c r="H131" s="290"/>
      <c r="I131" s="291"/>
      <c r="J131" s="8"/>
      <c r="K131" s="294"/>
      <c r="L131" s="295">
        <v>27</v>
      </c>
      <c r="M131" s="296" t="s">
        <v>1948</v>
      </c>
      <c r="N131" s="8"/>
      <c r="O131" s="54"/>
      <c r="P131" s="74">
        <f>IF(DAY(NovSun1)=1,NovSun1+15,NovSun1+22)</f>
        <v>45250</v>
      </c>
      <c r="Q131" s="74">
        <f>IF(DAY(NovSun1)=1,NovSun1+16,NovSun1+23)</f>
        <v>45251</v>
      </c>
      <c r="R131" s="74">
        <f>IF(DAY(NovSun1)=1,NovSun1+17,NovSun1+24)</f>
        <v>45252</v>
      </c>
      <c r="S131" s="74">
        <f>IF(DAY(NovSun1)=1,NovSun1+18,NovSun1+25)</f>
        <v>45253</v>
      </c>
      <c r="T131" s="74">
        <f>IF(DAY(NovSun1)=1,NovSun1+19,NovSun1+26)</f>
        <v>45254</v>
      </c>
      <c r="U131" s="74">
        <f>IF(DAY(NovSun1)=1,NovSun1+20,NovSun1+27)</f>
        <v>45255</v>
      </c>
      <c r="V131" s="74">
        <f>IF(DAY(NovSun1)=1,NovSun1+21,NovSun1+28)</f>
        <v>45256</v>
      </c>
      <c r="W131" s="4"/>
    </row>
    <row r="132" spans="1:23" hidden="1" outlineLevel="1">
      <c r="A132" s="4"/>
      <c r="B132" s="4"/>
      <c r="C132" s="294"/>
      <c r="D132" s="290"/>
      <c r="E132" s="291"/>
      <c r="F132" s="8"/>
      <c r="G132" s="294"/>
      <c r="H132" s="290"/>
      <c r="I132" s="291"/>
      <c r="J132" s="8"/>
      <c r="K132" s="294"/>
      <c r="L132" s="295"/>
      <c r="M132" s="296"/>
      <c r="N132" s="8"/>
      <c r="O132" s="54"/>
      <c r="P132" s="74">
        <f>IF(DAY(NovSun1)=1,NovSun1+22,NovSun1+29)</f>
        <v>45257</v>
      </c>
      <c r="Q132" s="74">
        <f>IF(DAY(NovSun1)=1,NovSun1+23,NovSun1+30)</f>
        <v>45258</v>
      </c>
      <c r="R132" s="74">
        <f>IF(DAY(NovSun1)=1,NovSun1+24,NovSun1+31)</f>
        <v>45259</v>
      </c>
      <c r="S132" s="74">
        <f>IF(DAY(NovSun1)=1,NovSun1+25,NovSun1+32)</f>
        <v>45260</v>
      </c>
      <c r="T132" s="74">
        <f>IF(DAY(NovSun1)=1,NovSun1+26,NovSun1+33)</f>
        <v>45261</v>
      </c>
      <c r="U132" s="74">
        <f>IF(DAY(NovSun1)=1,NovSun1+27,NovSun1+34)</f>
        <v>45262</v>
      </c>
      <c r="V132" s="74">
        <f>IF(DAY(NovSun1)=1,NovSun1+28,NovSun1+35)</f>
        <v>45263</v>
      </c>
      <c r="W132" s="4"/>
    </row>
    <row r="133" spans="1:23" hidden="1" outlineLevel="1">
      <c r="A133" s="4"/>
      <c r="B133" s="4"/>
      <c r="C133" s="294"/>
      <c r="D133" s="290"/>
      <c r="E133" s="291"/>
      <c r="F133" s="8"/>
      <c r="G133" s="294"/>
      <c r="H133" s="290"/>
      <c r="I133" s="291"/>
      <c r="J133" s="8"/>
      <c r="K133" s="294"/>
      <c r="L133" s="295"/>
      <c r="M133" s="296"/>
      <c r="N133" s="8"/>
      <c r="O133" s="75"/>
      <c r="P133" s="74">
        <f>IF(DAY(NovSun1)=1,NovSun1+29,NovSun1+36)</f>
        <v>45264</v>
      </c>
      <c r="Q133" s="74">
        <f>IF(DAY(NovSun1)=1,NovSun1+30,NovSun1+37)</f>
        <v>45265</v>
      </c>
      <c r="R133" s="74">
        <f>IF(DAY(NovSun1)=1,NovSun1+31,NovSun1+38)</f>
        <v>45266</v>
      </c>
      <c r="S133" s="74">
        <f>IF(DAY(NovSun1)=1,NovSun1+32,NovSun1+39)</f>
        <v>45267</v>
      </c>
      <c r="T133" s="74">
        <f>IF(DAY(NovSun1)=1,NovSun1+33,NovSun1+40)</f>
        <v>45268</v>
      </c>
      <c r="U133" s="74">
        <f>IF(DAY(NovSun1)=1,NovSun1+34,NovSun1+41)</f>
        <v>45269</v>
      </c>
      <c r="V133" s="74">
        <f>IF(DAY(NovSun1)=1,NovSun1+35,NovSun1+42)</f>
        <v>45270</v>
      </c>
      <c r="W133" s="4"/>
    </row>
    <row r="134" spans="1:23" hidden="1" outlineLevel="1">
      <c r="A134" s="4"/>
      <c r="B134" s="4"/>
      <c r="C134" s="294"/>
      <c r="D134" s="290"/>
      <c r="E134" s="293"/>
      <c r="F134" s="8"/>
      <c r="G134" s="294"/>
      <c r="H134" s="290"/>
      <c r="I134" s="293"/>
      <c r="J134" s="8"/>
      <c r="K134" s="297"/>
      <c r="L134" s="298"/>
      <c r="M134" s="299"/>
      <c r="N134" s="8"/>
      <c r="O134" s="4"/>
      <c r="P134" s="4"/>
      <c r="Q134" s="4"/>
      <c r="R134" s="4"/>
      <c r="S134" s="4"/>
      <c r="T134" s="4"/>
      <c r="U134" s="4"/>
      <c r="V134" s="4"/>
      <c r="W134" s="4"/>
    </row>
    <row r="135" spans="1:23" hidden="1" outlineLevel="1">
      <c r="A135" s="4"/>
      <c r="B135" s="4"/>
      <c r="C135" s="294" t="s">
        <v>1901</v>
      </c>
      <c r="D135" s="290">
        <v>12</v>
      </c>
      <c r="E135" s="291" t="s">
        <v>1920</v>
      </c>
      <c r="F135" s="8"/>
      <c r="G135" s="294" t="s">
        <v>1901</v>
      </c>
      <c r="H135" s="290"/>
      <c r="I135" s="291"/>
      <c r="J135" s="8"/>
      <c r="K135" s="294" t="s">
        <v>1901</v>
      </c>
      <c r="L135" s="295">
        <v>7</v>
      </c>
      <c r="M135" s="296" t="s">
        <v>1908</v>
      </c>
      <c r="N135" s="8"/>
      <c r="O135" s="4"/>
      <c r="P135" s="4"/>
      <c r="Q135" s="4"/>
      <c r="R135" s="4"/>
      <c r="S135" s="4"/>
      <c r="T135" s="4"/>
      <c r="U135" s="4"/>
      <c r="V135" s="4"/>
      <c r="W135" s="4"/>
    </row>
    <row r="136" spans="1:23" hidden="1" outlineLevel="1">
      <c r="A136" s="4"/>
      <c r="B136" s="4"/>
      <c r="C136" s="294"/>
      <c r="D136" s="290">
        <v>19</v>
      </c>
      <c r="E136" s="291" t="s">
        <v>1921</v>
      </c>
      <c r="F136" s="8"/>
      <c r="G136" s="294"/>
      <c r="H136" s="290"/>
      <c r="I136" s="291"/>
      <c r="J136" s="8"/>
      <c r="K136" s="294"/>
      <c r="L136" s="295">
        <v>21</v>
      </c>
      <c r="M136" s="296" t="s">
        <v>1948</v>
      </c>
      <c r="N136" s="8"/>
      <c r="O136" s="4"/>
      <c r="P136" s="4"/>
      <c r="Q136" s="4"/>
      <c r="R136" s="4"/>
      <c r="S136" s="4"/>
      <c r="T136" s="4"/>
      <c r="U136" s="4"/>
      <c r="V136" s="4"/>
      <c r="W136" s="4"/>
    </row>
    <row r="137" spans="1:23" hidden="1" outlineLevel="1">
      <c r="A137" s="4"/>
      <c r="B137" s="4"/>
      <c r="C137" s="294"/>
      <c r="D137" s="290"/>
      <c r="E137" s="291"/>
      <c r="F137" s="8"/>
      <c r="G137" s="294"/>
      <c r="H137" s="290"/>
      <c r="I137" s="291"/>
      <c r="J137" s="8"/>
      <c r="K137" s="294"/>
      <c r="L137" s="295">
        <v>28</v>
      </c>
      <c r="M137" s="296" t="s">
        <v>1948</v>
      </c>
      <c r="N137" s="8"/>
      <c r="O137" s="4"/>
      <c r="P137" s="4"/>
      <c r="Q137" s="4"/>
      <c r="R137" s="4"/>
      <c r="S137" s="4"/>
      <c r="T137" s="4"/>
      <c r="U137" s="4"/>
      <c r="V137" s="4"/>
      <c r="W137" s="4"/>
    </row>
    <row r="138" spans="1:23" hidden="1" outlineLevel="1">
      <c r="A138" s="4"/>
      <c r="B138" s="4"/>
      <c r="C138" s="294"/>
      <c r="D138" s="290"/>
      <c r="E138" s="291"/>
      <c r="F138" s="8"/>
      <c r="G138" s="294"/>
      <c r="H138" s="290"/>
      <c r="I138" s="291"/>
      <c r="J138" s="8"/>
      <c r="K138" s="294"/>
      <c r="L138" s="295"/>
      <c r="M138" s="296"/>
      <c r="N138" s="8"/>
      <c r="O138" s="4"/>
      <c r="P138" s="4"/>
      <c r="Q138" s="4"/>
      <c r="R138" s="4"/>
      <c r="S138" s="4"/>
      <c r="T138" s="4"/>
      <c r="U138" s="4"/>
      <c r="V138" s="4"/>
      <c r="W138" s="4"/>
    </row>
    <row r="139" spans="1:23" hidden="1" outlineLevel="1">
      <c r="A139" s="4"/>
      <c r="B139" s="4"/>
      <c r="C139" s="294"/>
      <c r="D139" s="290"/>
      <c r="E139" s="291"/>
      <c r="F139" s="8"/>
      <c r="G139" s="294"/>
      <c r="H139" s="290"/>
      <c r="I139" s="291"/>
      <c r="J139" s="8"/>
      <c r="K139" s="294"/>
      <c r="L139" s="295"/>
      <c r="M139" s="296"/>
      <c r="N139" s="8"/>
      <c r="O139" s="8"/>
      <c r="P139" s="8"/>
      <c r="Q139" s="8"/>
      <c r="R139" s="8"/>
      <c r="S139" s="8"/>
      <c r="T139" s="8"/>
      <c r="U139" s="8"/>
      <c r="V139" s="8"/>
      <c r="W139" s="4"/>
    </row>
    <row r="140" spans="1:23" ht="21" hidden="1" outlineLevel="1">
      <c r="A140" s="4"/>
      <c r="B140" s="4"/>
      <c r="C140" s="294"/>
      <c r="D140" s="290"/>
      <c r="E140" s="293"/>
      <c r="F140" s="8"/>
      <c r="G140" s="294"/>
      <c r="H140" s="290"/>
      <c r="I140" s="293"/>
      <c r="J140" s="8"/>
      <c r="K140" s="297"/>
      <c r="L140" s="298"/>
      <c r="M140" s="299"/>
      <c r="N140" s="8"/>
      <c r="O140" s="304" t="s">
        <v>1951</v>
      </c>
      <c r="P140" s="303" t="s">
        <v>1898</v>
      </c>
      <c r="Q140" s="303" t="s">
        <v>1899</v>
      </c>
      <c r="R140" s="303" t="s">
        <v>1900</v>
      </c>
      <c r="S140" s="303" t="s">
        <v>1901</v>
      </c>
      <c r="T140" s="303" t="s">
        <v>1902</v>
      </c>
      <c r="U140" s="303" t="s">
        <v>1903</v>
      </c>
      <c r="V140" s="303" t="s">
        <v>1904</v>
      </c>
      <c r="W140" s="4"/>
    </row>
    <row r="141" spans="1:23" ht="15.6" hidden="1" outlineLevel="1">
      <c r="A141" s="4"/>
      <c r="B141" s="4"/>
      <c r="C141" s="294" t="s">
        <v>1902</v>
      </c>
      <c r="D141" s="290"/>
      <c r="E141" s="291"/>
      <c r="F141" s="8"/>
      <c r="G141" s="294" t="s">
        <v>1902</v>
      </c>
      <c r="H141" s="290"/>
      <c r="I141" s="291"/>
      <c r="J141" s="8"/>
      <c r="K141" s="294" t="s">
        <v>1902</v>
      </c>
      <c r="L141" s="295">
        <v>22</v>
      </c>
      <c r="M141" s="296" t="s">
        <v>1948</v>
      </c>
      <c r="N141" s="8"/>
      <c r="O141" s="54"/>
      <c r="P141" s="77">
        <f>IF(DAY(DecSun1)=1,DecSun1-6,DecSun1+1)</f>
        <v>45257</v>
      </c>
      <c r="Q141" s="77">
        <f>IF(DAY(DecSun1)=1,DecSun1-5,DecSun1+2)</f>
        <v>45258</v>
      </c>
      <c r="R141" s="77">
        <f>IF(DAY(DecSun1)=1,DecSun1-4,DecSun1+3)</f>
        <v>45259</v>
      </c>
      <c r="S141" s="77">
        <f>IF(DAY(DecSun1)=1,DecSun1-3,DecSun1+4)</f>
        <v>45260</v>
      </c>
      <c r="T141" s="77">
        <f>IF(DAY(DecSun1)=1,DecSun1-2,DecSun1+5)</f>
        <v>45261</v>
      </c>
      <c r="U141" s="77">
        <f>IF(DAY(DecSun1)=1,DecSun1-1,DecSun1+6)</f>
        <v>45262</v>
      </c>
      <c r="V141" s="77">
        <f>IF(DAY(DecSun1)=1,DecSun1,DecSun1+7)</f>
        <v>45263</v>
      </c>
      <c r="W141" s="4"/>
    </row>
    <row r="142" spans="1:23" ht="15.6" hidden="1" outlineLevel="1">
      <c r="A142" s="4"/>
      <c r="B142" s="4"/>
      <c r="C142" s="294"/>
      <c r="D142" s="290"/>
      <c r="E142" s="291"/>
      <c r="F142" s="8"/>
      <c r="G142" s="294"/>
      <c r="H142" s="290"/>
      <c r="I142" s="291"/>
      <c r="J142" s="8"/>
      <c r="K142" s="294"/>
      <c r="L142" s="295">
        <v>29</v>
      </c>
      <c r="M142" s="296" t="s">
        <v>1924</v>
      </c>
      <c r="N142" s="8"/>
      <c r="O142" s="54"/>
      <c r="P142" s="77">
        <f>IF(DAY(DecSun1)=1,DecSun1+1,DecSun1+8)</f>
        <v>45264</v>
      </c>
      <c r="Q142" s="77">
        <f>IF(DAY(DecSun1)=1,DecSun1+2,DecSun1+9)</f>
        <v>45265</v>
      </c>
      <c r="R142" s="77">
        <f>IF(DAY(DecSun1)=1,DecSun1+3,DecSun1+10)</f>
        <v>45266</v>
      </c>
      <c r="S142" s="77">
        <f>IF(DAY(DecSun1)=1,DecSun1+4,DecSun1+11)</f>
        <v>45267</v>
      </c>
      <c r="T142" s="77">
        <f>IF(DAY(DecSun1)=1,DecSun1+5,DecSun1+12)</f>
        <v>45268</v>
      </c>
      <c r="U142" s="77">
        <f>IF(DAY(DecSun1)=1,DecSun1+6,DecSun1+13)</f>
        <v>45269</v>
      </c>
      <c r="V142" s="77">
        <f>IF(DAY(DecSun1)=1,DecSun1+7,DecSun1+14)</f>
        <v>45270</v>
      </c>
      <c r="W142" s="4"/>
    </row>
    <row r="143" spans="1:23" ht="15.6" hidden="1" outlineLevel="1">
      <c r="A143" s="4"/>
      <c r="B143" s="4"/>
      <c r="C143" s="294"/>
      <c r="D143" s="290"/>
      <c r="E143" s="291"/>
      <c r="F143" s="8"/>
      <c r="G143" s="294"/>
      <c r="H143" s="290"/>
      <c r="I143" s="291"/>
      <c r="J143" s="8"/>
      <c r="K143" s="294"/>
      <c r="L143" s="295"/>
      <c r="M143" s="296"/>
      <c r="N143" s="8"/>
      <c r="O143" s="54"/>
      <c r="P143" s="77">
        <f>IF(DAY(DecSun1)=1,DecSun1+8,DecSun1+15)</f>
        <v>45271</v>
      </c>
      <c r="Q143" s="77">
        <f>IF(DAY(DecSun1)=1,DecSun1+9,DecSun1+16)</f>
        <v>45272</v>
      </c>
      <c r="R143" s="77">
        <f>IF(DAY(DecSun1)=1,DecSun1+10,DecSun1+17)</f>
        <v>45273</v>
      </c>
      <c r="S143" s="77">
        <f>IF(DAY(DecSun1)=1,DecSun1+11,DecSun1+18)</f>
        <v>45274</v>
      </c>
      <c r="T143" s="77">
        <f>IF(DAY(DecSun1)=1,DecSun1+12,DecSun1+19)</f>
        <v>45275</v>
      </c>
      <c r="U143" s="77">
        <f>IF(DAY(DecSun1)=1,DecSun1+13,DecSun1+20)</f>
        <v>45276</v>
      </c>
      <c r="V143" s="77">
        <f>IF(DAY(DecSun1)=1,DecSun1+14,DecSun1+21)</f>
        <v>45277</v>
      </c>
      <c r="W143" s="4"/>
    </row>
    <row r="144" spans="1:23" ht="15.6" hidden="1" outlineLevel="1">
      <c r="A144" s="4"/>
      <c r="B144" s="4"/>
      <c r="C144" s="294"/>
      <c r="D144" s="290"/>
      <c r="E144" s="291"/>
      <c r="F144" s="8"/>
      <c r="G144" s="294"/>
      <c r="H144" s="290"/>
      <c r="I144" s="291"/>
      <c r="J144" s="8"/>
      <c r="K144" s="294"/>
      <c r="L144" s="295"/>
      <c r="M144" s="296"/>
      <c r="N144" s="8"/>
      <c r="O144" s="54"/>
      <c r="P144" s="77">
        <f>IF(DAY(DecSun1)=1,DecSun1+15,DecSun1+22)</f>
        <v>45278</v>
      </c>
      <c r="Q144" s="77">
        <f>IF(DAY(DecSun1)=1,DecSun1+16,DecSun1+23)</f>
        <v>45279</v>
      </c>
      <c r="R144" s="77">
        <f>IF(DAY(DecSun1)=1,DecSun1+17,DecSun1+24)</f>
        <v>45280</v>
      </c>
      <c r="S144" s="77">
        <f>IF(DAY(DecSun1)=1,DecSun1+18,DecSun1+25)</f>
        <v>45281</v>
      </c>
      <c r="T144" s="77">
        <f>IF(DAY(DecSun1)=1,DecSun1+19,DecSun1+26)</f>
        <v>45282</v>
      </c>
      <c r="U144" s="77">
        <f>IF(DAY(DecSun1)=1,DecSun1+20,DecSun1+27)</f>
        <v>45283</v>
      </c>
      <c r="V144" s="77">
        <f>IF(DAY(DecSun1)=1,DecSun1+21,DecSun1+28)</f>
        <v>45284</v>
      </c>
      <c r="W144" s="4"/>
    </row>
    <row r="145" spans="1:23" ht="15.6" hidden="1" outlineLevel="1">
      <c r="A145" s="4"/>
      <c r="B145" s="4"/>
      <c r="C145" s="294"/>
      <c r="D145" s="290"/>
      <c r="E145" s="291"/>
      <c r="F145" s="8"/>
      <c r="G145" s="294"/>
      <c r="H145" s="290"/>
      <c r="I145" s="291"/>
      <c r="J145" s="8"/>
      <c r="K145" s="294"/>
      <c r="L145" s="295"/>
      <c r="M145" s="296"/>
      <c r="N145" s="8"/>
      <c r="O145" s="54"/>
      <c r="P145" s="77">
        <f>IF(DAY(DecSun1)=1,DecSun1+22,DecSun1+29)</f>
        <v>45285</v>
      </c>
      <c r="Q145" s="77">
        <f>IF(DAY(DecSun1)=1,DecSun1+23,DecSun1+30)</f>
        <v>45286</v>
      </c>
      <c r="R145" s="77">
        <f>IF(DAY(DecSun1)=1,DecSun1+24,DecSun1+31)</f>
        <v>45287</v>
      </c>
      <c r="S145" s="77">
        <f>IF(DAY(DecSun1)=1,DecSun1+25,DecSun1+32)</f>
        <v>45288</v>
      </c>
      <c r="T145" s="77">
        <f>IF(DAY(DecSun1)=1,DecSun1+26,DecSun1+33)</f>
        <v>45289</v>
      </c>
      <c r="U145" s="77">
        <f>IF(DAY(DecSun1)=1,DecSun1+27,DecSun1+34)</f>
        <v>45290</v>
      </c>
      <c r="V145" s="77">
        <f>IF(DAY(DecSun1)=1,DecSun1+28,DecSun1+35)</f>
        <v>45291</v>
      </c>
      <c r="W145" s="4"/>
    </row>
    <row r="146" spans="1:23" ht="15.6" hidden="1" outlineLevel="1">
      <c r="A146" s="4"/>
      <c r="B146" s="4"/>
      <c r="C146" s="294"/>
      <c r="D146" s="290"/>
      <c r="E146" s="291"/>
      <c r="F146" s="8"/>
      <c r="G146" s="294"/>
      <c r="H146" s="290"/>
      <c r="I146" s="291"/>
      <c r="J146" s="8"/>
      <c r="K146" s="294"/>
      <c r="L146" s="295"/>
      <c r="M146" s="300"/>
      <c r="N146" s="8"/>
      <c r="O146" s="75"/>
      <c r="P146" s="77">
        <f>IF(DAY(DecSun1)=1,DecSun1+29,DecSun1+36)</f>
        <v>45292</v>
      </c>
      <c r="Q146" s="77">
        <f>IF(DAY(DecSun1)=1,DecSun1+30,DecSun1+37)</f>
        <v>45293</v>
      </c>
      <c r="R146" s="77">
        <f>IF(DAY(DecSun1)=1,DecSun1+31,DecSun1+38)</f>
        <v>45294</v>
      </c>
      <c r="S146" s="77">
        <f>IF(DAY(DecSun1)=1,DecSun1+32,DecSun1+39)</f>
        <v>45295</v>
      </c>
      <c r="T146" s="77">
        <f>IF(DAY(DecSun1)=1,DecSun1+33,DecSun1+40)</f>
        <v>45296</v>
      </c>
      <c r="U146" s="77">
        <f>IF(DAY(DecSun1)=1,DecSun1+34,DecSun1+41)</f>
        <v>45297</v>
      </c>
      <c r="V146" s="77">
        <f>IF(DAY(DecSun1)=1,DecSun1+35,DecSun1+42)</f>
        <v>45298</v>
      </c>
      <c r="W146" s="4"/>
    </row>
    <row r="147" spans="1:23" hidden="1" outlineLevel="1">
      <c r="A147" s="4"/>
      <c r="B147" s="4"/>
      <c r="C147" s="4"/>
      <c r="D147" s="4"/>
      <c r="E147" s="4"/>
      <c r="F147" s="4"/>
      <c r="G147" s="4"/>
      <c r="H147" s="4"/>
      <c r="I147" s="4"/>
      <c r="J147" s="4"/>
      <c r="K147" s="4"/>
      <c r="L147" s="4"/>
      <c r="M147" s="4"/>
      <c r="N147" s="4"/>
      <c r="O147" s="4"/>
      <c r="P147" s="4"/>
      <c r="Q147" s="4"/>
      <c r="R147" s="4"/>
      <c r="S147" s="4"/>
      <c r="T147" s="4"/>
      <c r="U147" s="4"/>
      <c r="V147" s="4"/>
      <c r="W147" s="4"/>
    </row>
    <row r="148" spans="1:23" s="123" customFormat="1" ht="18.600000000000001" collapsed="1">
      <c r="A148" s="102"/>
      <c r="B148" s="102"/>
      <c r="C148" s="625" t="s">
        <v>78</v>
      </c>
      <c r="D148" s="625"/>
      <c r="E148" s="625"/>
      <c r="F148" s="625"/>
      <c r="G148" s="625"/>
      <c r="H148" s="625"/>
      <c r="I148" s="625"/>
      <c r="J148" s="625"/>
      <c r="K148" s="625"/>
      <c r="L148" s="625"/>
      <c r="M148" s="625"/>
      <c r="N148" s="625"/>
      <c r="O148" s="625"/>
      <c r="P148" s="625"/>
      <c r="Q148" s="625"/>
      <c r="R148" s="625"/>
      <c r="S148" s="625"/>
      <c r="T148" s="625"/>
      <c r="U148" s="625"/>
      <c r="V148" s="625"/>
      <c r="W148" s="102"/>
    </row>
    <row r="149" spans="1:23" outlineLevel="1">
      <c r="A149" s="4"/>
      <c r="B149" s="4"/>
      <c r="C149" s="92"/>
      <c r="D149" s="92"/>
      <c r="E149" s="92"/>
      <c r="F149" s="92"/>
      <c r="G149" s="92"/>
      <c r="H149" s="92"/>
      <c r="I149" s="92"/>
      <c r="J149" s="92"/>
      <c r="K149" s="92"/>
      <c r="L149" s="92"/>
      <c r="M149" s="92"/>
      <c r="N149" s="92"/>
      <c r="O149" s="92"/>
      <c r="P149" s="92"/>
      <c r="Q149" s="92"/>
      <c r="R149" s="92"/>
      <c r="S149" s="92"/>
      <c r="T149" s="92"/>
      <c r="U149" s="92"/>
      <c r="V149" s="92"/>
      <c r="W149" s="4"/>
    </row>
    <row r="150" spans="1:23" outlineLevel="1">
      <c r="A150" s="4"/>
      <c r="B150" s="4"/>
      <c r="C150" s="93" t="s">
        <v>1952</v>
      </c>
      <c r="D150" s="93"/>
      <c r="E150" s="93"/>
      <c r="F150" s="93"/>
      <c r="G150" s="93"/>
      <c r="H150" s="93"/>
      <c r="I150" s="93"/>
      <c r="J150" s="93"/>
      <c r="K150" s="93"/>
      <c r="L150" s="93"/>
      <c r="M150" s="93"/>
      <c r="N150" s="93"/>
      <c r="O150" s="93"/>
      <c r="P150" s="93"/>
      <c r="Q150" s="93"/>
      <c r="R150" s="93"/>
      <c r="S150" s="93"/>
      <c r="T150" s="93"/>
      <c r="U150" s="93"/>
      <c r="V150" s="93"/>
      <c r="W150" s="4"/>
    </row>
    <row r="151" spans="1:23">
      <c r="A151" s="4"/>
      <c r="B151" s="4"/>
      <c r="C151" s="4"/>
      <c r="D151" s="4"/>
      <c r="E151" s="4"/>
      <c r="F151" s="4"/>
      <c r="G151" s="4"/>
      <c r="H151" s="4"/>
      <c r="I151" s="4"/>
      <c r="J151" s="4"/>
      <c r="K151" s="4"/>
      <c r="L151" s="4"/>
      <c r="M151" s="4"/>
      <c r="N151" s="4"/>
      <c r="O151" s="4"/>
      <c r="P151" s="4"/>
      <c r="Q151" s="4"/>
      <c r="R151" s="4"/>
      <c r="S151" s="4"/>
      <c r="T151" s="4"/>
      <c r="U151" s="4"/>
      <c r="V151" s="4"/>
      <c r="W151" s="4"/>
    </row>
  </sheetData>
  <mergeCells count="21">
    <mergeCell ref="R2:V2"/>
    <mergeCell ref="K45:M45"/>
    <mergeCell ref="C10:E10"/>
    <mergeCell ref="G10:I10"/>
    <mergeCell ref="K10:M10"/>
    <mergeCell ref="C2:Q2"/>
    <mergeCell ref="C3:Q3"/>
    <mergeCell ref="R3:V3"/>
    <mergeCell ref="C113:V113"/>
    <mergeCell ref="C148:V148"/>
    <mergeCell ref="C115:E115"/>
    <mergeCell ref="G115:I115"/>
    <mergeCell ref="K115:M115"/>
    <mergeCell ref="C80:E80"/>
    <mergeCell ref="G80:I80"/>
    <mergeCell ref="K80:M80"/>
    <mergeCell ref="C8:V8"/>
    <mergeCell ref="C43:V43"/>
    <mergeCell ref="C78:V78"/>
    <mergeCell ref="C45:E45"/>
    <mergeCell ref="G45:I45"/>
  </mergeCells>
  <phoneticPr fontId="65"/>
  <conditionalFormatting sqref="P11:U11">
    <cfRule type="expression" dxfId="337" priority="41" stopIfTrue="1">
      <formula>DAY(P11)&gt;8</formula>
    </cfRule>
  </conditionalFormatting>
  <conditionalFormatting sqref="P23:U23">
    <cfRule type="expression" dxfId="336" priority="32" stopIfTrue="1">
      <formula>DAY(P23)&gt;8</formula>
    </cfRule>
  </conditionalFormatting>
  <conditionalFormatting sqref="P36:U36">
    <cfRule type="expression" dxfId="335" priority="29" stopIfTrue="1">
      <formula>DAY(P36)&gt;8</formula>
    </cfRule>
  </conditionalFormatting>
  <conditionalFormatting sqref="P46:U46">
    <cfRule type="expression" dxfId="334" priority="26" stopIfTrue="1">
      <formula>DAY(P46)&gt;8</formula>
    </cfRule>
  </conditionalFormatting>
  <conditionalFormatting sqref="P58:U58">
    <cfRule type="expression" dxfId="333" priority="23" stopIfTrue="1">
      <formula>DAY(P58)&gt;8</formula>
    </cfRule>
  </conditionalFormatting>
  <conditionalFormatting sqref="P71:U71">
    <cfRule type="expression" dxfId="332" priority="20" stopIfTrue="1">
      <formula>DAY(P71)&gt;8</formula>
    </cfRule>
  </conditionalFormatting>
  <conditionalFormatting sqref="P81:U81">
    <cfRule type="expression" dxfId="331" priority="17" stopIfTrue="1">
      <formula>DAY(P81)&gt;8</formula>
    </cfRule>
  </conditionalFormatting>
  <conditionalFormatting sqref="P93:U93">
    <cfRule type="expression" dxfId="330" priority="14" stopIfTrue="1">
      <formula>DAY(P93)&gt;8</formula>
    </cfRule>
  </conditionalFormatting>
  <conditionalFormatting sqref="P106:U106">
    <cfRule type="expression" dxfId="329" priority="11" stopIfTrue="1">
      <formula>DAY(P106)&gt;8</formula>
    </cfRule>
  </conditionalFormatting>
  <conditionalFormatting sqref="P116:U116">
    <cfRule type="expression" dxfId="328" priority="8" stopIfTrue="1">
      <formula>DAY(P116)&gt;8</formula>
    </cfRule>
  </conditionalFormatting>
  <conditionalFormatting sqref="P128:U128">
    <cfRule type="expression" dxfId="327" priority="5" stopIfTrue="1">
      <formula>DAY(P128)&gt;8</formula>
    </cfRule>
  </conditionalFormatting>
  <conditionalFormatting sqref="P141:U141">
    <cfRule type="expression" dxfId="326" priority="2" stopIfTrue="1">
      <formula>DAY(P141)&gt;8</formula>
    </cfRule>
  </conditionalFormatting>
  <conditionalFormatting sqref="P11:V16">
    <cfRule type="expression" dxfId="325" priority="42">
      <formula>VLOOKUP(DAY(P11),Jan_day,1,FALSE)=DAY(P11)</formula>
    </cfRule>
  </conditionalFormatting>
  <conditionalFormatting sqref="P15:V16">
    <cfRule type="expression" dxfId="324" priority="40" stopIfTrue="1">
      <formula>AND(DAY(P15)&gt;=1,DAY(P15)&lt;=15)</formula>
    </cfRule>
  </conditionalFormatting>
  <conditionalFormatting sqref="P23:V28">
    <cfRule type="expression" dxfId="323" priority="33">
      <formula>VLOOKUP(DAY(P23),Feb_day,1,FALSE)=DAY(P23)</formula>
    </cfRule>
  </conditionalFormatting>
  <conditionalFormatting sqref="P27:V28">
    <cfRule type="expression" dxfId="322" priority="31" stopIfTrue="1">
      <formula>AND(DAY(P27)&gt;=1,DAY(P27)&lt;=15)</formula>
    </cfRule>
  </conditionalFormatting>
  <conditionalFormatting sqref="P36:V41">
    <cfRule type="expression" dxfId="321" priority="30">
      <formula>VLOOKUP(DAY(P36),March_day,1,FALSE)=DAY(P36)</formula>
    </cfRule>
  </conditionalFormatting>
  <conditionalFormatting sqref="P40:V41">
    <cfRule type="expression" dxfId="320" priority="28" stopIfTrue="1">
      <formula>AND(DAY(P40)&gt;=1,DAY(P40)&lt;=15)</formula>
    </cfRule>
  </conditionalFormatting>
  <conditionalFormatting sqref="P46:V51">
    <cfRule type="expression" dxfId="319" priority="27">
      <formula>VLOOKUP(DAY(P46),Apr_day,1,FALSE)=DAY(P46)</formula>
    </cfRule>
  </conditionalFormatting>
  <conditionalFormatting sqref="P50:V51">
    <cfRule type="expression" dxfId="318" priority="25" stopIfTrue="1">
      <formula>AND(DAY(P50)&gt;=1,DAY(P50)&lt;=15)</formula>
    </cfRule>
  </conditionalFormatting>
  <conditionalFormatting sqref="P58:V63">
    <cfRule type="expression" dxfId="317" priority="24">
      <formula>VLOOKUP(DAY(P58),May_day,1,FALSE)=DAY(P58)</formula>
    </cfRule>
  </conditionalFormatting>
  <conditionalFormatting sqref="P62:V63">
    <cfRule type="expression" dxfId="316" priority="22" stopIfTrue="1">
      <formula>AND(DAY(P62)&gt;=1,DAY(P62)&lt;=15)</formula>
    </cfRule>
  </conditionalFormatting>
  <conditionalFormatting sqref="P71:V76">
    <cfRule type="expression" dxfId="315" priority="21">
      <formula>VLOOKUP(DAY(P71),Jun_day,1,FALSE)=DAY(P71)</formula>
    </cfRule>
  </conditionalFormatting>
  <conditionalFormatting sqref="P75:V76">
    <cfRule type="expression" dxfId="314" priority="19" stopIfTrue="1">
      <formula>AND(DAY(P75)&gt;=1,DAY(P75)&lt;=15)</formula>
    </cfRule>
  </conditionalFormatting>
  <conditionalFormatting sqref="P81:V86">
    <cfRule type="expression" dxfId="313" priority="18">
      <formula>VLOOKUP(DAY(P81),Jul_day,1,FALSE)=DAY(P81)</formula>
    </cfRule>
  </conditionalFormatting>
  <conditionalFormatting sqref="P85:V86">
    <cfRule type="expression" dxfId="312" priority="16" stopIfTrue="1">
      <formula>AND(DAY(P85)&gt;=1,DAY(P85)&lt;=15)</formula>
    </cfRule>
  </conditionalFormatting>
  <conditionalFormatting sqref="P93:V98">
    <cfRule type="expression" dxfId="311" priority="15">
      <formula>VLOOKUP(DAY(P93),Aug_day,1,FALSE)=DAY(P93)</formula>
    </cfRule>
  </conditionalFormatting>
  <conditionalFormatting sqref="P97:V98">
    <cfRule type="expression" dxfId="310" priority="13" stopIfTrue="1">
      <formula>AND(DAY(P97)&gt;=1,DAY(P97)&lt;=15)</formula>
    </cfRule>
  </conditionalFormatting>
  <conditionalFormatting sqref="P106:V111">
    <cfRule type="expression" dxfId="309" priority="12">
      <formula>VLOOKUP(DAY(P106),Sep_day,1,FALSE)=DAY(P106)</formula>
    </cfRule>
  </conditionalFormatting>
  <conditionalFormatting sqref="P110:V111">
    <cfRule type="expression" dxfId="308" priority="10" stopIfTrue="1">
      <formula>AND(DAY(P110)&gt;=1,DAY(P110)&lt;=15)</formula>
    </cfRule>
  </conditionalFormatting>
  <conditionalFormatting sqref="P116:V121">
    <cfRule type="expression" dxfId="307" priority="9">
      <formula>VLOOKUP(DAY(P116),Oct_day,1,FALSE)=DAY(P116)</formula>
    </cfRule>
  </conditionalFormatting>
  <conditionalFormatting sqref="P120:V121">
    <cfRule type="expression" dxfId="306" priority="7" stopIfTrue="1">
      <formula>AND(DAY(P120)&gt;=1,DAY(P120)&lt;=15)</formula>
    </cfRule>
  </conditionalFormatting>
  <conditionalFormatting sqref="P128:V133">
    <cfRule type="expression" dxfId="305" priority="6">
      <formula>VLOOKUP(DAY(P128),Nov_day,1,FALSE)=DAY(P128)</formula>
    </cfRule>
  </conditionalFormatting>
  <conditionalFormatting sqref="P132:V133">
    <cfRule type="expression" dxfId="304" priority="4" stopIfTrue="1">
      <formula>AND(DAY(P132)&gt;=1,DAY(P132)&lt;=15)</formula>
    </cfRule>
  </conditionalFormatting>
  <conditionalFormatting sqref="P141:V146">
    <cfRule type="expression" dxfId="303" priority="3">
      <formula>VLOOKUP(DAY(P141),Dec_day,1,FALSE)=DAY(P141)</formula>
    </cfRule>
  </conditionalFormatting>
  <conditionalFormatting sqref="P145:V146">
    <cfRule type="expression" dxfId="302" priority="1" stopIfTrue="1">
      <formula>AND(DAY(P145)&gt;=1,DAY(P145)&lt;=15)</formula>
    </cfRule>
  </conditionalFormatting>
  <dataValidations count="11">
    <dataValidation allowBlank="1" showInputMessage="1" showErrorMessage="1" prompt="March calendar automatically highlights assignment list entries for the month. Darker fonts are assignments. Lighter fonts are days that belong to the previous or next month" sqref="O35 O70 O105 O140" xr:uid="{986DCAD9-33A8-4752-8CE7-E414B74F1496}"/>
    <dataValidation allowBlank="1" showInputMessage="1" showErrorMessage="1" prompt="February calendar automatically highlights assignment list entries for the month. Darker fonts are assignments. Lighter fonts are days that belong to the previous or next month" sqref="O22 O57 O92 O127" xr:uid="{123A8576-F7E1-4BCD-A629-DB36F46DEEC3}"/>
    <dataValidation allowBlank="1" showInputMessage="1" showErrorMessage="1" prompt="Enter year in this cell" sqref="C113:C115 C43:C45 C77:C80 C6 C8:C10" xr:uid="{3B8DD0D6-AB6F-42A5-9692-A451DB077485}"/>
    <dataValidation allowBlank="1" showInputMessage="1" showErrorMessage="1" prompt="January calendar automatically highlights assignment list entries for the month. Darker fonts are assignments. Lighter fonts are days that belong to the previous or next month" sqref="O10 O45 O80 O115" xr:uid="{5EB0E9A8-67F6-46B5-94F3-174825BF32A5}"/>
    <dataValidation allowBlank="1" showInputMessage="1" showErrorMessage="1" prompt="Cells C2:I2 contain weekdays" sqref="P10 P22 P35 P45 P57 P70 P80 P92 P105 P115 P127 P140" xr:uid="{385BB97D-116D-4D7E-BD7B-2B8A60DBAD6B}"/>
    <dataValidation allowBlank="1" showInputMessage="1" showErrorMessage="1" prompt="If this cell doesn’t contain the number 1, then it is a day from a previous month. Cells C3:I8 contain dates for the current month" sqref="P11 P23 P36 P46 P58 P71 P81 P93 P106 P116 P128 P141" xr:uid="{61AD76FD-B943-49F8-A69A-FD89065204E0}"/>
    <dataValidation allowBlank="1" showInputMessage="1" showErrorMessage="1" prompt="Enter assignment day of the month in this column that corresponds to the weekday  in column J. This date will highlight the assigment in the calendar at left" sqref="D11 H11 L11 D46 H46 L46 D81 H81 L81 D116 H116 L116" xr:uid="{05921FC9-71F2-4D1A-9AA1-F6CA0DEE90A1}"/>
    <dataValidation allowBlank="1" showInputMessage="1" showErrorMessage="1" prompt="Enter the assignment details in this column that correspond to the weekday in column J and day in column K for the calendar month at left" sqref="E11 I11 M11 E46 I46 M46 E81 I81 M81 E116 I116 M116" xr:uid="{8B36F7B5-E866-43EF-A115-81FDCDD74899}"/>
    <dataValidation allowBlank="1" showInputMessage="1" showErrorMessage="1" prompt="If this row contains a number less than the previous number or row of numbers, then this row contains dates for the next calendar month" sqref="P16 P28 P41 P51 P63 P76 P86 P98 P111 P121 P133 P146" xr:uid="{C6596DDD-CB7A-44A0-948D-BA887D797677}"/>
    <dataValidation allowBlank="1" showInputMessage="1" showErrorMessage="1" prompt="Weekdays are grouped in this column with 6 rows for assignments for each grouped weekday of the month. Insert new rows to add more assignments. Calendar at left will highlight items" sqref="C11 G11 K11 C46 G46 K46 C81 G81 K81 C116 G116 K116" xr:uid="{31D70B74-E98D-4474-8932-6BE5B2B97C6C}"/>
    <dataValidation allowBlank="1" showErrorMessage="1" prompt="Enter year in this cell" sqref="C7" xr:uid="{5934C5C9-8226-4003-97D3-6733278813F2}"/>
  </dataValidations>
  <hyperlinks>
    <hyperlink ref="C150:V150" r:id="rId1" display="Consider including Azure Planned Maintenance events that affect the environment in the calendar." xr:uid="{50A11326-E1D2-4A9E-AFC2-40D7354255F9}"/>
  </hyperlinks>
  <pageMargins left="0.7" right="0.7" top="0.75" bottom="0.75" header="0.3" footer="0.3"/>
  <pageSetup orientation="portrait" r:id="rId2"/>
  <drawing r:id="rId3"/>
  <tableParts count="12">
    <tablePart r:id="rId4"/>
    <tablePart r:id="rId5"/>
    <tablePart r:id="rId6"/>
    <tablePart r:id="rId7"/>
    <tablePart r:id="rId8"/>
    <tablePart r:id="rId9"/>
    <tablePart r:id="rId10"/>
    <tablePart r:id="rId11"/>
    <tablePart r:id="rId12"/>
    <tablePart r:id="rId13"/>
    <tablePart r:id="rId14"/>
    <tablePart r:id="rId15"/>
  </tableParts>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821AE5-6B47-4574-96F9-BF8DB6D52C77}">
  <sheetPr>
    <tabColor rgb="FF737373"/>
  </sheetPr>
  <dimension ref="A1:R32"/>
  <sheetViews>
    <sheetView showGridLines="0" showRowColHeaders="0" zoomScale="70" zoomScaleNormal="70" workbookViewId="0">
      <selection activeCell="G29" sqref="G29"/>
    </sheetView>
  </sheetViews>
  <sheetFormatPr defaultColWidth="0" defaultRowHeight="14.45" zeroHeight="1" outlineLevelRow="1"/>
  <cols>
    <col min="1" max="2" width="5.85546875" customWidth="1"/>
    <col min="3" max="3" width="3.85546875" customWidth="1"/>
    <col min="4" max="4" width="25.5703125" bestFit="1" customWidth="1"/>
    <col min="5" max="5" width="46.140625" bestFit="1" customWidth="1"/>
    <col min="6" max="6" width="14.85546875" bestFit="1" customWidth="1"/>
    <col min="7" max="7" width="15.42578125" bestFit="1" customWidth="1"/>
    <col min="8" max="8" width="17.140625" bestFit="1" customWidth="1"/>
    <col min="9" max="9" width="18.85546875" bestFit="1" customWidth="1"/>
    <col min="10" max="10" width="14.85546875" bestFit="1" customWidth="1"/>
    <col min="11" max="11" width="18.140625" bestFit="1" customWidth="1"/>
    <col min="12" max="12" width="20.42578125" bestFit="1" customWidth="1"/>
    <col min="13" max="13" width="20.42578125" customWidth="1"/>
    <col min="14" max="14" width="41.42578125" bestFit="1" customWidth="1"/>
    <col min="15" max="15" width="19.140625" bestFit="1" customWidth="1"/>
    <col min="16" max="16" width="94.85546875" customWidth="1"/>
    <col min="17" max="18" width="3.85546875" customWidth="1"/>
    <col min="19" max="16384" width="46.85546875" hidden="1"/>
  </cols>
  <sheetData>
    <row r="1" spans="1:18">
      <c r="A1" s="4"/>
      <c r="B1" s="4"/>
      <c r="C1" s="4"/>
      <c r="D1" s="4"/>
      <c r="E1" s="4"/>
      <c r="F1" s="4"/>
      <c r="G1" s="4"/>
      <c r="H1" s="4"/>
      <c r="I1" s="4"/>
      <c r="J1" s="4"/>
      <c r="K1" s="4"/>
      <c r="L1" s="4"/>
      <c r="M1" s="4"/>
      <c r="N1" s="4"/>
      <c r="O1" s="4"/>
      <c r="P1" s="4"/>
      <c r="Q1" s="4"/>
      <c r="R1" s="4"/>
    </row>
    <row r="2" spans="1:18" ht="21">
      <c r="A2" s="4"/>
      <c r="B2" s="4"/>
      <c r="C2" s="618" t="s">
        <v>1953</v>
      </c>
      <c r="D2" s="618"/>
      <c r="E2" s="618"/>
      <c r="F2" s="618"/>
      <c r="G2" s="618"/>
      <c r="H2" s="618"/>
      <c r="I2" s="618"/>
      <c r="J2" s="618"/>
      <c r="K2" s="618"/>
      <c r="L2" s="618"/>
      <c r="M2" s="618"/>
      <c r="N2" s="618"/>
      <c r="O2" s="618"/>
      <c r="P2" s="618"/>
      <c r="Q2" s="181"/>
      <c r="R2" s="4"/>
    </row>
    <row r="3" spans="1:18" ht="14.45" customHeight="1">
      <c r="A3" s="4"/>
      <c r="B3" s="4"/>
      <c r="C3" s="646" t="s">
        <v>1954</v>
      </c>
      <c r="D3" s="646"/>
      <c r="E3" s="646"/>
      <c r="F3" s="646"/>
      <c r="G3" s="646"/>
      <c r="H3" s="646"/>
      <c r="I3" s="646"/>
      <c r="J3" s="646"/>
      <c r="K3" s="646"/>
      <c r="L3" s="646"/>
      <c r="M3" s="646"/>
      <c r="N3" s="646"/>
      <c r="O3" s="646"/>
      <c r="P3" s="646"/>
      <c r="Q3" s="182"/>
      <c r="R3" s="4"/>
    </row>
    <row r="4" spans="1:18">
      <c r="A4" s="4"/>
      <c r="B4" s="4"/>
      <c r="C4" s="4"/>
      <c r="D4" s="4"/>
      <c r="E4" s="4"/>
      <c r="F4" s="4"/>
      <c r="G4" s="4"/>
      <c r="H4" s="4"/>
      <c r="I4" s="4"/>
      <c r="J4" s="4"/>
      <c r="K4" s="4"/>
      <c r="L4" s="4"/>
      <c r="M4" s="4"/>
      <c r="N4" s="4"/>
      <c r="O4" s="4"/>
      <c r="P4" s="4"/>
      <c r="Q4" s="4"/>
      <c r="R4" s="4"/>
    </row>
    <row r="5" spans="1:18" ht="14.45" customHeight="1">
      <c r="A5" s="4"/>
      <c r="B5" s="4"/>
      <c r="C5" s="198"/>
      <c r="D5" s="7"/>
      <c r="E5" s="106"/>
      <c r="F5" s="106"/>
      <c r="G5" s="106"/>
      <c r="H5" s="106"/>
      <c r="I5" s="106"/>
      <c r="J5" s="7"/>
      <c r="K5" s="7"/>
      <c r="L5" s="7"/>
      <c r="M5" s="7"/>
      <c r="N5" s="7"/>
      <c r="O5" s="7"/>
      <c r="P5" s="7"/>
      <c r="Q5" s="7"/>
      <c r="R5" s="4"/>
    </row>
    <row r="6" spans="1:18" ht="14.45" customHeight="1">
      <c r="A6" s="4"/>
      <c r="B6" s="4"/>
      <c r="C6" s="198"/>
      <c r="D6" s="140" t="s">
        <v>299</v>
      </c>
      <c r="E6" s="209"/>
      <c r="F6" s="7"/>
      <c r="G6" s="7"/>
      <c r="H6" s="7"/>
      <c r="I6" s="7"/>
      <c r="J6" s="7"/>
      <c r="K6" s="7"/>
      <c r="L6" s="7"/>
      <c r="M6" s="7"/>
      <c r="N6" s="7"/>
      <c r="O6" s="7"/>
      <c r="P6" s="7"/>
      <c r="Q6" s="7"/>
      <c r="R6" s="4"/>
    </row>
    <row r="7" spans="1:18" ht="14.45" customHeight="1">
      <c r="A7" s="4"/>
      <c r="B7" s="4"/>
      <c r="C7" s="198"/>
      <c r="D7" s="142" t="s">
        <v>300</v>
      </c>
      <c r="E7" s="210"/>
      <c r="F7" s="7"/>
      <c r="G7" s="7"/>
      <c r="H7" s="7"/>
      <c r="I7" s="7"/>
      <c r="J7" s="7"/>
      <c r="K7" s="7"/>
      <c r="L7" s="7"/>
      <c r="M7" s="7"/>
      <c r="N7" s="7"/>
      <c r="O7" s="7"/>
      <c r="P7" s="7"/>
      <c r="Q7" s="7"/>
      <c r="R7" s="4"/>
    </row>
    <row r="8" spans="1:18" ht="14.45" customHeight="1">
      <c r="A8" s="4"/>
      <c r="B8" s="4"/>
      <c r="C8" s="198"/>
      <c r="D8" s="142" t="s">
        <v>301</v>
      </c>
      <c r="E8" s="210"/>
      <c r="F8" s="7"/>
      <c r="G8" s="7"/>
      <c r="H8" s="7"/>
      <c r="I8" s="7"/>
      <c r="J8" s="7"/>
      <c r="K8" s="7"/>
      <c r="L8" s="7"/>
      <c r="M8" s="7"/>
      <c r="N8" s="7"/>
      <c r="O8" s="7"/>
      <c r="P8" s="7"/>
      <c r="Q8" s="7"/>
      <c r="R8" s="4"/>
    </row>
    <row r="9" spans="1:18" ht="14.45" customHeight="1">
      <c r="A9" s="4"/>
      <c r="B9" s="4"/>
      <c r="C9" s="198"/>
      <c r="D9" s="144" t="s">
        <v>0</v>
      </c>
      <c r="E9" s="211"/>
      <c r="F9" s="7"/>
      <c r="G9" s="7"/>
      <c r="H9" s="7"/>
      <c r="I9" s="7"/>
      <c r="J9" s="7"/>
      <c r="K9" s="7"/>
      <c r="L9" s="7"/>
      <c r="M9" s="7"/>
      <c r="N9" s="7"/>
      <c r="O9" s="7"/>
      <c r="P9" s="7"/>
      <c r="Q9" s="7"/>
      <c r="R9" s="4"/>
    </row>
    <row r="10" spans="1:18" ht="14.45" customHeight="1">
      <c r="A10" s="4"/>
      <c r="B10" s="4"/>
      <c r="C10" s="198"/>
      <c r="D10" s="7"/>
      <c r="E10" s="7"/>
      <c r="F10" s="7"/>
      <c r="G10" s="7"/>
      <c r="H10" s="7"/>
      <c r="I10" s="7"/>
      <c r="J10" s="159"/>
      <c r="K10" s="159"/>
      <c r="L10" s="159"/>
      <c r="M10" s="159"/>
      <c r="N10" s="159"/>
      <c r="O10" s="159"/>
      <c r="P10" s="159"/>
      <c r="Q10" s="159"/>
      <c r="R10" s="199"/>
    </row>
    <row r="11" spans="1:18" ht="14.45" customHeight="1">
      <c r="A11" s="4"/>
      <c r="B11" s="4"/>
      <c r="C11" s="5"/>
      <c r="D11" s="4"/>
      <c r="E11" s="4"/>
      <c r="F11" s="4"/>
      <c r="G11" s="4"/>
      <c r="H11" s="4"/>
      <c r="I11" s="4"/>
      <c r="J11" s="199"/>
      <c r="K11" s="199"/>
      <c r="L11" s="199"/>
      <c r="M11" s="199"/>
      <c r="N11" s="199"/>
      <c r="O11" s="199"/>
      <c r="P11" s="199"/>
      <c r="Q11" s="199"/>
      <c r="R11" s="199"/>
    </row>
    <row r="12" spans="1:18" s="123" customFormat="1" ht="14.45" customHeight="1">
      <c r="A12" s="102"/>
      <c r="B12" s="102"/>
      <c r="C12" s="102" t="s">
        <v>1955</v>
      </c>
      <c r="D12" s="102"/>
      <c r="E12" s="102"/>
      <c r="F12" s="102"/>
      <c r="G12" s="102"/>
      <c r="H12" s="102"/>
      <c r="I12" s="102"/>
      <c r="J12" s="425"/>
      <c r="K12" s="425"/>
      <c r="L12" s="425"/>
      <c r="M12" s="425"/>
      <c r="N12" s="425"/>
      <c r="O12" s="425"/>
      <c r="P12" s="425"/>
      <c r="Q12" s="425"/>
      <c r="R12" s="425"/>
    </row>
    <row r="13" spans="1:18" outlineLevel="1">
      <c r="A13" s="4"/>
      <c r="B13" s="4"/>
      <c r="C13" s="4"/>
      <c r="D13" s="4"/>
      <c r="E13" s="4"/>
      <c r="F13" s="4"/>
      <c r="G13" s="4"/>
      <c r="H13" s="4"/>
      <c r="I13" s="4"/>
      <c r="J13" s="4"/>
      <c r="K13" s="4"/>
      <c r="L13" s="4"/>
      <c r="M13" s="4"/>
      <c r="N13" s="4"/>
      <c r="O13" s="4"/>
      <c r="P13" s="4"/>
      <c r="Q13" s="4"/>
      <c r="R13" s="4"/>
    </row>
    <row r="14" spans="1:18" outlineLevel="1">
      <c r="A14" s="4"/>
      <c r="B14" s="4"/>
      <c r="C14" s="7"/>
      <c r="D14" s="7"/>
      <c r="E14" s="7"/>
      <c r="F14" s="7"/>
      <c r="G14" s="7"/>
      <c r="H14" s="7"/>
      <c r="I14" s="7"/>
      <c r="J14" s="7"/>
      <c r="K14" s="7"/>
      <c r="L14" s="7"/>
      <c r="M14" s="7"/>
      <c r="N14" s="7"/>
      <c r="O14" s="7"/>
      <c r="P14" s="7"/>
      <c r="Q14" s="7"/>
      <c r="R14" s="4"/>
    </row>
    <row r="15" spans="1:18" outlineLevel="1">
      <c r="A15" s="4"/>
      <c r="B15" s="4"/>
      <c r="C15" s="7"/>
      <c r="D15" s="18" t="s">
        <v>1827</v>
      </c>
      <c r="E15" s="18" t="s">
        <v>138</v>
      </c>
      <c r="F15" s="18" t="s">
        <v>890</v>
      </c>
      <c r="G15" s="18" t="s">
        <v>892</v>
      </c>
      <c r="H15" s="18" t="s">
        <v>267</v>
      </c>
      <c r="I15" s="18" t="s">
        <v>898</v>
      </c>
      <c r="J15" s="18" t="s">
        <v>1828</v>
      </c>
      <c r="K15" s="18" t="s">
        <v>1956</v>
      </c>
      <c r="L15" s="18" t="s">
        <v>1957</v>
      </c>
      <c r="M15" s="18" t="s">
        <v>1958</v>
      </c>
      <c r="N15" s="18" t="s">
        <v>1780</v>
      </c>
      <c r="O15" s="18" t="s">
        <v>1959</v>
      </c>
      <c r="P15" s="18" t="s">
        <v>1960</v>
      </c>
      <c r="Q15" s="54"/>
      <c r="R15" s="4"/>
    </row>
    <row r="16" spans="1:18" ht="72.599999999999994" outlineLevel="1">
      <c r="A16" s="4"/>
      <c r="B16" s="4"/>
      <c r="C16" s="7"/>
      <c r="D16" s="18" t="s">
        <v>1850</v>
      </c>
      <c r="E16" s="18" t="s">
        <v>1859</v>
      </c>
      <c r="F16" s="18" t="s">
        <v>891</v>
      </c>
      <c r="G16" s="18" t="s">
        <v>1536</v>
      </c>
      <c r="H16" s="16" t="s">
        <v>314</v>
      </c>
      <c r="I16" s="18" t="s">
        <v>899</v>
      </c>
      <c r="J16" s="16" t="s">
        <v>1015</v>
      </c>
      <c r="K16" s="18" t="s">
        <v>1211</v>
      </c>
      <c r="L16" s="18" t="s">
        <v>1961</v>
      </c>
      <c r="M16" s="18" t="s">
        <v>441</v>
      </c>
      <c r="N16" s="18" t="s">
        <v>1962</v>
      </c>
      <c r="O16" s="18"/>
      <c r="P16" s="18" t="s">
        <v>1963</v>
      </c>
      <c r="Q16" s="54"/>
      <c r="R16" s="4"/>
    </row>
    <row r="17" spans="1:18" ht="29.1" outlineLevel="1">
      <c r="A17" s="4"/>
      <c r="B17" s="4"/>
      <c r="C17" s="7"/>
      <c r="D17" s="18" t="s">
        <v>1850</v>
      </c>
      <c r="E17" s="18" t="s">
        <v>1861</v>
      </c>
      <c r="F17" s="18" t="s">
        <v>891</v>
      </c>
      <c r="G17" s="18" t="s">
        <v>1536</v>
      </c>
      <c r="H17" s="18" t="s">
        <v>326</v>
      </c>
      <c r="I17" s="18" t="s">
        <v>899</v>
      </c>
      <c r="J17" s="18" t="s">
        <v>1015</v>
      </c>
      <c r="K17" s="18" t="s">
        <v>1211</v>
      </c>
      <c r="L17" s="18" t="s">
        <v>1961</v>
      </c>
      <c r="M17" s="18" t="s">
        <v>441</v>
      </c>
      <c r="N17" s="18" t="s">
        <v>732</v>
      </c>
      <c r="O17" s="18"/>
      <c r="P17" s="18" t="s">
        <v>1964</v>
      </c>
      <c r="Q17" s="54"/>
      <c r="R17" s="4"/>
    </row>
    <row r="18" spans="1:18" ht="29.1" outlineLevel="1">
      <c r="A18" s="4"/>
      <c r="B18" s="4"/>
      <c r="C18" s="7"/>
      <c r="D18" s="18" t="s">
        <v>1862</v>
      </c>
      <c r="E18" s="18" t="s">
        <v>1875</v>
      </c>
      <c r="F18" s="18" t="s">
        <v>891</v>
      </c>
      <c r="G18" s="18" t="s">
        <v>1965</v>
      </c>
      <c r="H18" s="16" t="s">
        <v>319</v>
      </c>
      <c r="I18" s="18" t="s">
        <v>1876</v>
      </c>
      <c r="J18" s="16" t="s">
        <v>1015</v>
      </c>
      <c r="K18" s="16" t="s">
        <v>1211</v>
      </c>
      <c r="L18" s="16" t="s">
        <v>441</v>
      </c>
      <c r="M18" s="18" t="s">
        <v>441</v>
      </c>
      <c r="N18" s="18" t="s">
        <v>1966</v>
      </c>
      <c r="O18" s="18"/>
      <c r="P18" s="18"/>
      <c r="Q18" s="54"/>
      <c r="R18" s="4"/>
    </row>
    <row r="19" spans="1:18" ht="29.1" outlineLevel="1">
      <c r="A19" s="4"/>
      <c r="B19" s="4"/>
      <c r="C19" s="7"/>
      <c r="D19" s="18" t="s">
        <v>1850</v>
      </c>
      <c r="E19" s="18" t="s">
        <v>203</v>
      </c>
      <c r="F19" s="18" t="s">
        <v>891</v>
      </c>
      <c r="G19" s="18" t="s">
        <v>1536</v>
      </c>
      <c r="H19" s="16" t="s">
        <v>322</v>
      </c>
      <c r="I19" s="18" t="s">
        <v>899</v>
      </c>
      <c r="J19" s="16" t="s">
        <v>1015</v>
      </c>
      <c r="K19" s="16" t="s">
        <v>1211</v>
      </c>
      <c r="L19" s="16" t="s">
        <v>441</v>
      </c>
      <c r="M19" s="18" t="s">
        <v>441</v>
      </c>
      <c r="N19" s="306" t="s">
        <v>307</v>
      </c>
      <c r="O19" s="306">
        <v>50000</v>
      </c>
      <c r="P19" s="18" t="s">
        <v>1967</v>
      </c>
      <c r="Q19" s="54"/>
      <c r="R19" s="4"/>
    </row>
    <row r="20" spans="1:18" ht="29.1" outlineLevel="1">
      <c r="A20" s="4"/>
      <c r="B20" s="4"/>
      <c r="C20" s="7"/>
      <c r="D20" s="18" t="s">
        <v>1870</v>
      </c>
      <c r="E20" s="18" t="s">
        <v>1870</v>
      </c>
      <c r="F20" s="18" t="s">
        <v>891</v>
      </c>
      <c r="G20" s="18" t="s">
        <v>893</v>
      </c>
      <c r="H20" s="16" t="s">
        <v>324</v>
      </c>
      <c r="I20" s="18" t="s">
        <v>1871</v>
      </c>
      <c r="J20" s="18" t="s">
        <v>1968</v>
      </c>
      <c r="K20" s="18" t="s">
        <v>1211</v>
      </c>
      <c r="L20" s="18" t="s">
        <v>1961</v>
      </c>
      <c r="M20" s="18" t="s">
        <v>441</v>
      </c>
      <c r="N20" s="18" t="s">
        <v>1969</v>
      </c>
      <c r="O20" s="18"/>
      <c r="P20" s="18" t="s">
        <v>1970</v>
      </c>
      <c r="Q20" s="54"/>
      <c r="R20" s="4"/>
    </row>
    <row r="21" spans="1:18" ht="57.95" outlineLevel="1">
      <c r="A21" s="4"/>
      <c r="B21" s="4"/>
      <c r="C21" s="7"/>
      <c r="D21" s="18" t="s">
        <v>1850</v>
      </c>
      <c r="E21" s="18" t="s">
        <v>1851</v>
      </c>
      <c r="F21" s="18" t="s">
        <v>891</v>
      </c>
      <c r="G21" s="18" t="s">
        <v>1536</v>
      </c>
      <c r="H21" s="16" t="s">
        <v>326</v>
      </c>
      <c r="I21" s="18" t="s">
        <v>899</v>
      </c>
      <c r="J21" s="18" t="s">
        <v>1968</v>
      </c>
      <c r="K21" s="18" t="s">
        <v>1211</v>
      </c>
      <c r="L21" s="18" t="s">
        <v>1961</v>
      </c>
      <c r="M21" s="18" t="s">
        <v>441</v>
      </c>
      <c r="N21" s="18" t="s">
        <v>732</v>
      </c>
      <c r="O21" s="18"/>
      <c r="P21" s="18" t="s">
        <v>1971</v>
      </c>
      <c r="Q21" s="54"/>
      <c r="R21" s="4"/>
    </row>
    <row r="22" spans="1:18" ht="57.95" outlineLevel="1">
      <c r="A22" s="4"/>
      <c r="B22" s="4"/>
      <c r="C22" s="7"/>
      <c r="D22" s="18" t="s">
        <v>1972</v>
      </c>
      <c r="E22" s="18" t="s">
        <v>1973</v>
      </c>
      <c r="F22" s="18" t="s">
        <v>891</v>
      </c>
      <c r="G22" s="18" t="s">
        <v>893</v>
      </c>
      <c r="H22" s="16" t="s">
        <v>328</v>
      </c>
      <c r="I22" s="18" t="s">
        <v>899</v>
      </c>
      <c r="J22" s="18" t="s">
        <v>1968</v>
      </c>
      <c r="K22" s="18" t="s">
        <v>1211</v>
      </c>
      <c r="L22" s="18" t="s">
        <v>1961</v>
      </c>
      <c r="M22" s="18" t="s">
        <v>441</v>
      </c>
      <c r="N22" s="18" t="s">
        <v>307</v>
      </c>
      <c r="O22" s="18" t="s">
        <v>1974</v>
      </c>
      <c r="P22" s="18" t="s">
        <v>1975</v>
      </c>
      <c r="Q22" s="54"/>
      <c r="R22" s="4"/>
    </row>
    <row r="23" spans="1:18" outlineLevel="1">
      <c r="A23" s="4"/>
      <c r="B23" s="4"/>
      <c r="C23" s="7"/>
      <c r="D23" s="18" t="s">
        <v>1862</v>
      </c>
      <c r="E23" s="18" t="s">
        <v>1873</v>
      </c>
      <c r="F23" s="18" t="s">
        <v>891</v>
      </c>
      <c r="G23" s="18" t="s">
        <v>1965</v>
      </c>
      <c r="H23" s="16" t="s">
        <v>331</v>
      </c>
      <c r="I23" s="18" t="s">
        <v>899</v>
      </c>
      <c r="J23" s="16" t="s">
        <v>1015</v>
      </c>
      <c r="K23" s="18" t="s">
        <v>1211</v>
      </c>
      <c r="L23" s="18" t="s">
        <v>1961</v>
      </c>
      <c r="M23" s="18" t="s">
        <v>441</v>
      </c>
      <c r="N23" s="18" t="s">
        <v>1966</v>
      </c>
      <c r="O23" s="18"/>
      <c r="P23" s="18"/>
      <c r="Q23" s="54"/>
      <c r="R23" s="4"/>
    </row>
    <row r="24" spans="1:18" ht="43.5" outlineLevel="1">
      <c r="A24" s="4"/>
      <c r="B24" s="4"/>
      <c r="C24" s="7"/>
      <c r="D24" s="18" t="s">
        <v>1850</v>
      </c>
      <c r="E24" s="18" t="s">
        <v>1863</v>
      </c>
      <c r="F24" s="18" t="s">
        <v>891</v>
      </c>
      <c r="G24" s="18" t="s">
        <v>1536</v>
      </c>
      <c r="H24" s="16" t="s">
        <v>335</v>
      </c>
      <c r="I24" s="18" t="s">
        <v>899</v>
      </c>
      <c r="J24" s="16" t="s">
        <v>1015</v>
      </c>
      <c r="K24" s="18" t="s">
        <v>1211</v>
      </c>
      <c r="L24" s="18" t="s">
        <v>1961</v>
      </c>
      <c r="M24" s="18" t="s">
        <v>441</v>
      </c>
      <c r="N24" s="18" t="s">
        <v>1976</v>
      </c>
      <c r="O24" s="18"/>
      <c r="P24" s="18"/>
      <c r="Q24" s="54"/>
      <c r="R24" s="4"/>
    </row>
    <row r="25" spans="1:18" ht="29.1" outlineLevel="1">
      <c r="A25" s="4"/>
      <c r="B25" s="4"/>
      <c r="C25" s="7"/>
      <c r="D25" s="18" t="s">
        <v>1977</v>
      </c>
      <c r="E25" s="18" t="s">
        <v>1978</v>
      </c>
      <c r="F25" s="18" t="s">
        <v>891</v>
      </c>
      <c r="G25" s="18" t="s">
        <v>1979</v>
      </c>
      <c r="H25" s="16" t="s">
        <v>339</v>
      </c>
      <c r="I25" s="18" t="s">
        <v>899</v>
      </c>
      <c r="J25" s="16" t="s">
        <v>1015</v>
      </c>
      <c r="K25" s="18" t="s">
        <v>1211</v>
      </c>
      <c r="L25" s="18" t="s">
        <v>1961</v>
      </c>
      <c r="M25" s="18" t="s">
        <v>441</v>
      </c>
      <c r="N25" s="18" t="s">
        <v>1966</v>
      </c>
      <c r="O25" s="18"/>
      <c r="P25" s="18"/>
      <c r="Q25" s="54"/>
      <c r="R25" s="4"/>
    </row>
    <row r="26" spans="1:18" outlineLevel="1">
      <c r="A26" s="4"/>
      <c r="B26" s="4"/>
      <c r="C26" s="7"/>
      <c r="D26" s="18" t="s">
        <v>1980</v>
      </c>
      <c r="E26" s="18" t="s">
        <v>1980</v>
      </c>
      <c r="F26" s="18" t="s">
        <v>891</v>
      </c>
      <c r="G26" s="18" t="s">
        <v>1965</v>
      </c>
      <c r="H26" s="16" t="s">
        <v>343</v>
      </c>
      <c r="I26" s="18" t="s">
        <v>899</v>
      </c>
      <c r="J26" s="16" t="s">
        <v>1015</v>
      </c>
      <c r="K26" s="16" t="s">
        <v>1211</v>
      </c>
      <c r="L26" s="16" t="s">
        <v>441</v>
      </c>
      <c r="M26" s="18" t="s">
        <v>441</v>
      </c>
      <c r="N26" s="18" t="s">
        <v>1981</v>
      </c>
      <c r="O26" s="18"/>
      <c r="P26" s="18"/>
      <c r="Q26" s="54"/>
      <c r="R26" s="4"/>
    </row>
    <row r="27" spans="1:18" outlineLevel="1">
      <c r="A27" s="4"/>
      <c r="B27" s="4"/>
      <c r="C27" s="7"/>
      <c r="D27" s="7"/>
      <c r="E27" s="7"/>
      <c r="F27" s="7"/>
      <c r="G27" s="7"/>
      <c r="H27" s="7"/>
      <c r="I27" s="7"/>
      <c r="J27" s="7"/>
      <c r="K27" s="7"/>
      <c r="L27" s="7"/>
      <c r="M27" s="7"/>
      <c r="N27" s="7"/>
      <c r="O27" s="7"/>
      <c r="P27" s="7"/>
      <c r="Q27" s="7"/>
      <c r="R27" s="4"/>
    </row>
    <row r="28" spans="1:18">
      <c r="A28" s="4"/>
      <c r="B28" s="4"/>
      <c r="C28" s="4"/>
      <c r="D28" s="4"/>
      <c r="E28" s="4"/>
      <c r="F28" s="4"/>
      <c r="G28" s="4"/>
      <c r="H28" s="4"/>
      <c r="I28" s="4"/>
      <c r="J28" s="4"/>
      <c r="K28" s="4"/>
      <c r="L28" s="4"/>
      <c r="M28" s="4"/>
      <c r="N28" s="4"/>
      <c r="O28" s="4"/>
      <c r="P28" s="4"/>
      <c r="Q28" s="4"/>
      <c r="R28" s="4"/>
    </row>
    <row r="29" spans="1:18" ht="18.600000000000001">
      <c r="A29" s="4"/>
      <c r="B29" s="4"/>
      <c r="C29" s="102" t="s">
        <v>78</v>
      </c>
      <c r="D29" s="102"/>
      <c r="E29" s="102"/>
      <c r="F29" s="102"/>
      <c r="G29" s="102"/>
      <c r="H29" s="102"/>
      <c r="I29" s="102"/>
      <c r="J29" s="102"/>
      <c r="K29" s="102"/>
      <c r="L29" s="102"/>
      <c r="M29" s="102"/>
      <c r="N29" s="102"/>
      <c r="O29" s="102"/>
      <c r="P29" s="102"/>
      <c r="Q29" s="102"/>
      <c r="R29" s="102"/>
    </row>
    <row r="30" spans="1:18" outlineLevel="1">
      <c r="A30" s="4"/>
      <c r="B30" s="4"/>
      <c r="C30" s="4"/>
      <c r="D30" s="92"/>
      <c r="E30" s="92"/>
      <c r="F30" s="92"/>
      <c r="G30" s="92"/>
      <c r="H30" s="92"/>
      <c r="I30" s="92"/>
      <c r="J30" s="92"/>
      <c r="K30" s="92"/>
      <c r="L30" s="92"/>
      <c r="M30" s="92"/>
      <c r="N30" s="92"/>
      <c r="O30" s="92"/>
      <c r="P30" s="92"/>
      <c r="Q30" s="92"/>
      <c r="R30" s="92"/>
    </row>
    <row r="31" spans="1:18" outlineLevel="1">
      <c r="A31" s="4"/>
      <c r="B31" s="4"/>
      <c r="C31" s="1" t="s">
        <v>1128</v>
      </c>
      <c r="D31" s="93"/>
      <c r="E31" s="93"/>
      <c r="F31" s="93"/>
      <c r="G31" s="93"/>
      <c r="H31" s="93"/>
      <c r="I31" s="93"/>
      <c r="J31" s="93"/>
      <c r="K31" s="93"/>
      <c r="L31" s="93"/>
      <c r="M31" s="93"/>
      <c r="N31" s="93"/>
      <c r="O31" s="93"/>
      <c r="P31" s="93"/>
      <c r="Q31" s="93"/>
      <c r="R31" s="21"/>
    </row>
    <row r="32" spans="1:18">
      <c r="A32" s="4"/>
      <c r="B32" s="4"/>
      <c r="C32" s="4"/>
      <c r="D32" s="4"/>
      <c r="E32" s="4"/>
      <c r="F32" s="4"/>
      <c r="G32" s="4"/>
      <c r="H32" s="4"/>
      <c r="I32" s="4"/>
      <c r="J32" s="4"/>
      <c r="K32" s="4"/>
      <c r="L32" s="4"/>
      <c r="M32" s="4"/>
      <c r="N32" s="4"/>
      <c r="O32" s="4"/>
      <c r="P32" s="4"/>
      <c r="Q32" s="4"/>
      <c r="R32" s="4"/>
    </row>
  </sheetData>
  <mergeCells count="2">
    <mergeCell ref="C2:P2"/>
    <mergeCell ref="C3:P3"/>
  </mergeCells>
  <phoneticPr fontId="65"/>
  <hyperlinks>
    <hyperlink ref="C31" r:id="rId1" display="https://learn.microsoft.com/en-us/compliance/assurance/assurance-developing-your-ebcm-plan" xr:uid="{BEA31E08-C978-47D2-B560-D6CC02AE0EF0}"/>
  </hyperlinks>
  <pageMargins left="0.7" right="0.7" top="0.75" bottom="0.75" header="0.3" footer="0.3"/>
  <pageSetup orientation="portrait" r:id="rId2"/>
  <drawing r:id="rId3"/>
  <tableParts count="1">
    <tablePart r:id="rId4"/>
  </tableParts>
  <extLst>
    <ext xmlns:x14="http://schemas.microsoft.com/office/spreadsheetml/2009/9/main" uri="{78C0D931-6437-407d-A8EE-F0AAD7539E65}">
      <x14:conditionalFormattings>
        <x14:conditionalFormatting xmlns:xm="http://schemas.microsoft.com/office/excel/2006/main">
          <x14:cfRule type="cellIs" priority="1" operator="equal" id="{71636A39-1F3E-4B73-B848-FF4B12D929B8}">
            <xm:f>Data!$L$13</xm:f>
            <x14:dxf>
              <font>
                <color theme="0"/>
              </font>
              <fill>
                <patternFill>
                  <bgColor rgb="FFF25022"/>
                </patternFill>
              </fill>
            </x14:dxf>
          </x14:cfRule>
          <x14:cfRule type="cellIs" priority="2" operator="equal" id="{14C014F5-3431-4601-9970-582C6A9EF7EB}">
            <xm:f>Data!$L$12</xm:f>
            <x14:dxf>
              <font>
                <color theme="0"/>
              </font>
              <fill>
                <patternFill>
                  <bgColor rgb="FFF25022"/>
                </patternFill>
              </fill>
            </x14:dxf>
          </x14:cfRule>
          <x14:cfRule type="cellIs" priority="3" operator="equal" id="{74350098-F8E4-4DC2-9982-9D63C741AE76}">
            <xm:f>Data!$L$11</xm:f>
            <x14:dxf>
              <font>
                <color theme="0"/>
              </font>
              <fill>
                <patternFill>
                  <bgColor rgb="FFF25022"/>
                </patternFill>
              </fill>
            </x14:dxf>
          </x14:cfRule>
          <x14:cfRule type="cellIs" priority="4" operator="equal" id="{A3DEAEDE-F7F9-472C-BB43-68306F2AAB90}">
            <xm:f>Data!$L$10</xm:f>
            <x14:dxf>
              <font>
                <color theme="0"/>
              </font>
              <fill>
                <patternFill>
                  <bgColor rgb="FFF25022"/>
                </patternFill>
              </fill>
            </x14:dxf>
          </x14:cfRule>
          <x14:cfRule type="cellIs" priority="5" operator="equal" id="{782189A0-542A-4C4B-8BFC-E77EF7B783FA}">
            <xm:f>Data!$L$6</xm:f>
            <x14:dxf>
              <font>
                <color theme="0"/>
              </font>
              <fill>
                <patternFill>
                  <bgColor rgb="FFF25022"/>
                </patternFill>
              </fill>
            </x14:dxf>
          </x14:cfRule>
          <x14:cfRule type="cellIs" priority="6" operator="equal" id="{236C55F0-0085-4671-840D-44A549329278}">
            <xm:f>Data!$L$9</xm:f>
            <x14:dxf>
              <font>
                <color theme="1"/>
              </font>
              <fill>
                <patternFill>
                  <bgColor rgb="FF7FBA00"/>
                </patternFill>
              </fill>
            </x14:dxf>
          </x14:cfRule>
          <x14:cfRule type="cellIs" priority="7" operator="equal" id="{0AB65EFA-DF56-4CD4-9267-FD6EEEDABF89}">
            <xm:f>Data!$L$8</xm:f>
            <x14:dxf>
              <font>
                <color theme="1"/>
              </font>
              <fill>
                <patternFill>
                  <bgColor rgb="FF00A4EF"/>
                </patternFill>
              </fill>
            </x14:dxf>
          </x14:cfRule>
          <x14:cfRule type="cellIs" priority="8" operator="equal" id="{4249E439-B2A7-45DB-8304-2A5019188B74}">
            <xm:f>Data!$L$7</xm:f>
            <x14:dxf>
              <font>
                <color theme="1"/>
              </font>
              <fill>
                <patternFill>
                  <bgColor rgb="FFFFB900"/>
                </patternFill>
              </fill>
            </x14:dxf>
          </x14:cfRule>
          <x14:cfRule type="cellIs" priority="9" operator="equal" id="{C7A2775C-E335-48F7-A8ED-32EBBE8E430D}">
            <xm:f>Data!$L$5</xm:f>
            <x14:dxf>
              <font>
                <color theme="0"/>
              </font>
              <fill>
                <patternFill>
                  <bgColor rgb="FFF25022"/>
                </patternFill>
              </fill>
            </x14:dxf>
          </x14:cfRule>
          <xm:sqref>H16:M25 M17:M26 I18:I26 J25:J26</xm:sqref>
        </x14:conditionalFormatting>
        <x14:conditionalFormatting xmlns:xm="http://schemas.microsoft.com/office/excel/2006/main">
          <x14:cfRule type="cellIs" priority="10" operator="equal" id="{BA240EFE-0A25-451C-9FE3-74A041A7F630}">
            <xm:f>Data!$L$6+Data!$L$14</xm:f>
            <x14:dxf>
              <font>
                <color theme="0"/>
              </font>
              <fill>
                <patternFill>
                  <bgColor rgb="FF747474"/>
                </patternFill>
              </fill>
            </x14:dxf>
          </x14:cfRule>
          <xm:sqref>H16:M26</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4AC34CC9-C5EC-4247-8A40-639788604E4A}">
          <x14:formula1>
            <xm:f>Data!$L$5:$L$14</xm:f>
          </x14:formula1>
          <xm:sqref>H16:H26</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789ADC-FF9D-465C-9798-8E5CAD3BA2B0}">
  <sheetPr>
    <tabColor rgb="FF737373"/>
  </sheetPr>
  <dimension ref="A1:AD78"/>
  <sheetViews>
    <sheetView showGridLines="0" showRowColHeaders="0" zoomScale="85" zoomScaleNormal="85" workbookViewId="0">
      <selection activeCell="A35" sqref="A35"/>
    </sheetView>
  </sheetViews>
  <sheetFormatPr defaultColWidth="0" defaultRowHeight="14.45" zeroHeight="1" outlineLevelRow="1"/>
  <cols>
    <col min="1" max="2" width="5.85546875" customWidth="1"/>
    <col min="3" max="3" width="2.85546875" customWidth="1"/>
    <col min="4" max="4" width="27.42578125" bestFit="1" customWidth="1"/>
    <col min="5" max="5" width="50.5703125" customWidth="1"/>
    <col min="6" max="6" width="7.85546875" bestFit="1" customWidth="1"/>
    <col min="7" max="7" width="50.5703125" customWidth="1"/>
    <col min="8" max="8" width="7.85546875" customWidth="1"/>
    <col min="9" max="9" width="50.5703125" customWidth="1"/>
    <col min="10" max="10" width="7.85546875" customWidth="1"/>
    <col min="11" max="11" width="50.5703125" customWidth="1"/>
    <col min="12" max="12" width="7.85546875" customWidth="1"/>
    <col min="13" max="13" width="50.5703125" customWidth="1"/>
    <col min="14" max="14" width="7.85546875" customWidth="1"/>
    <col min="15" max="15" width="50.5703125" customWidth="1"/>
    <col min="16" max="16" width="7.85546875" customWidth="1"/>
    <col min="17" max="17" width="50.5703125" customWidth="1"/>
    <col min="18" max="18" width="7.85546875" customWidth="1"/>
    <col min="19" max="19" width="50.5703125" customWidth="1"/>
    <col min="20" max="20" width="7.85546875" customWidth="1"/>
    <col min="21" max="21" width="50.5703125" customWidth="1"/>
    <col min="22" max="22" width="7.85546875" customWidth="1"/>
    <col min="23" max="23" width="50.5703125" customWidth="1"/>
    <col min="24" max="24" width="7.85546875" customWidth="1"/>
    <col min="25" max="25" width="50.5703125" customWidth="1"/>
    <col min="26" max="26" width="7.85546875" customWidth="1"/>
    <col min="27" max="27" width="50.5703125" customWidth="1"/>
    <col min="28" max="28" width="7.85546875" customWidth="1"/>
    <col min="29" max="30" width="3.5703125" customWidth="1"/>
    <col min="31" max="16384" width="8.85546875" hidden="1"/>
  </cols>
  <sheetData>
    <row r="1" spans="1:30">
      <c r="A1" s="8"/>
      <c r="B1" s="8"/>
      <c r="C1" s="8"/>
      <c r="D1" s="8"/>
      <c r="E1" s="8"/>
      <c r="F1" s="8"/>
      <c r="G1" s="8"/>
      <c r="H1" s="8"/>
      <c r="I1" s="8"/>
      <c r="J1" s="8"/>
      <c r="K1" s="8"/>
      <c r="L1" s="8"/>
      <c r="M1" s="8"/>
      <c r="N1" s="8"/>
      <c r="O1" s="8"/>
      <c r="P1" s="8"/>
      <c r="Q1" s="8"/>
      <c r="R1" s="8"/>
      <c r="S1" s="8"/>
      <c r="T1" s="8"/>
      <c r="U1" s="8"/>
      <c r="V1" s="8"/>
      <c r="W1" s="8"/>
      <c r="X1" s="8"/>
      <c r="Y1" s="8"/>
      <c r="Z1" s="8"/>
      <c r="AA1" s="8"/>
      <c r="AB1" s="8"/>
      <c r="AC1" s="8"/>
      <c r="AD1" s="4"/>
    </row>
    <row r="2" spans="1:30" ht="21" customHeight="1">
      <c r="A2" s="8"/>
      <c r="B2" s="8"/>
      <c r="C2" s="618" t="s">
        <v>1982</v>
      </c>
      <c r="D2" s="618"/>
      <c r="E2" s="618"/>
      <c r="F2" s="618"/>
      <c r="G2" s="618"/>
      <c r="H2" s="618"/>
      <c r="I2" s="618"/>
      <c r="J2" s="618"/>
      <c r="K2" s="618"/>
      <c r="L2" s="618"/>
      <c r="M2" s="618"/>
      <c r="N2" s="618"/>
      <c r="O2" s="618"/>
      <c r="P2" s="618"/>
      <c r="Q2" s="618"/>
      <c r="R2" s="618"/>
      <c r="S2" s="618"/>
      <c r="T2" s="618"/>
      <c r="U2" s="618"/>
      <c r="V2" s="618"/>
      <c r="W2" s="618"/>
      <c r="X2" s="618"/>
      <c r="Y2" s="618"/>
      <c r="Z2" s="618"/>
      <c r="AA2" s="618"/>
      <c r="AB2" s="618"/>
      <c r="AC2" s="618"/>
      <c r="AD2" s="4"/>
    </row>
    <row r="3" spans="1:30" ht="14.45" customHeight="1">
      <c r="A3" s="8"/>
      <c r="B3" s="8"/>
      <c r="C3" s="646" t="s">
        <v>1983</v>
      </c>
      <c r="D3" s="646"/>
      <c r="E3" s="646"/>
      <c r="F3" s="646"/>
      <c r="G3" s="646"/>
      <c r="H3" s="646"/>
      <c r="I3" s="646"/>
      <c r="J3" s="646"/>
      <c r="K3" s="646"/>
      <c r="L3" s="646"/>
      <c r="M3" s="646"/>
      <c r="N3" s="646"/>
      <c r="O3" s="646"/>
      <c r="P3" s="646"/>
      <c r="Q3" s="646"/>
      <c r="R3" s="646"/>
      <c r="S3" s="646"/>
      <c r="T3" s="646"/>
      <c r="U3" s="646"/>
      <c r="V3" s="646"/>
      <c r="W3" s="646"/>
      <c r="X3" s="646"/>
      <c r="Y3" s="646"/>
      <c r="Z3" s="646"/>
      <c r="AA3" s="646"/>
      <c r="AB3" s="646"/>
      <c r="AC3" s="646"/>
      <c r="AD3" s="4"/>
    </row>
    <row r="4" spans="1:30" ht="14.45" customHeight="1">
      <c r="A4" s="8"/>
      <c r="B4" s="8"/>
      <c r="C4" s="8"/>
      <c r="D4" s="528"/>
      <c r="E4" s="528"/>
      <c r="F4" s="529"/>
      <c r="G4" s="528"/>
      <c r="H4" s="528"/>
      <c r="I4" s="528"/>
      <c r="J4" s="528"/>
      <c r="K4" s="528"/>
      <c r="L4" s="528"/>
      <c r="M4" s="530"/>
      <c r="N4" s="8"/>
      <c r="O4" s="8"/>
      <c r="P4" s="8"/>
      <c r="Q4" s="8"/>
      <c r="R4" s="8"/>
      <c r="S4" s="8"/>
      <c r="T4" s="8"/>
      <c r="U4" s="8"/>
      <c r="V4" s="8"/>
      <c r="W4" s="8"/>
      <c r="X4" s="8"/>
      <c r="Y4" s="8"/>
      <c r="Z4" s="8"/>
      <c r="AA4" s="531"/>
      <c r="AB4" s="532"/>
      <c r="AC4" s="8"/>
      <c r="AD4" s="4"/>
    </row>
    <row r="5" spans="1:30">
      <c r="A5" s="4"/>
      <c r="B5" s="4"/>
      <c r="C5" s="7"/>
      <c r="D5" s="7"/>
      <c r="E5" s="7"/>
      <c r="F5" s="7"/>
      <c r="G5" s="7"/>
      <c r="H5" s="7"/>
      <c r="I5" s="7"/>
      <c r="J5" s="7"/>
      <c r="K5" s="7"/>
      <c r="L5" s="7"/>
      <c r="M5" s="7"/>
      <c r="N5" s="7"/>
      <c r="O5" s="7"/>
      <c r="P5" s="7"/>
      <c r="Q5" s="7"/>
      <c r="R5" s="7"/>
      <c r="S5" s="7"/>
      <c r="T5" s="7"/>
      <c r="U5" s="7"/>
      <c r="V5" s="7"/>
      <c r="W5" s="7"/>
      <c r="X5" s="7"/>
      <c r="Y5" s="7"/>
      <c r="Z5" s="7"/>
      <c r="AA5" s="7"/>
      <c r="AB5" s="7"/>
      <c r="AC5" s="7"/>
      <c r="AD5" s="4"/>
    </row>
    <row r="6" spans="1:30">
      <c r="A6" s="8"/>
      <c r="B6" s="8"/>
      <c r="C6" s="54"/>
      <c r="D6" s="504" t="s">
        <v>1827</v>
      </c>
      <c r="E6" s="505" t="s">
        <v>1850</v>
      </c>
      <c r="F6" s="506"/>
      <c r="G6" s="505" t="s">
        <v>1850</v>
      </c>
      <c r="H6" s="507"/>
      <c r="I6" s="505" t="s">
        <v>1870</v>
      </c>
      <c r="J6" s="507"/>
      <c r="K6" s="505" t="s">
        <v>1850</v>
      </c>
      <c r="L6" s="507"/>
      <c r="M6" s="505" t="s">
        <v>1850</v>
      </c>
      <c r="N6" s="507"/>
      <c r="O6" s="505" t="s">
        <v>1850</v>
      </c>
      <c r="P6" s="507"/>
      <c r="Q6" s="505" t="s">
        <v>1850</v>
      </c>
      <c r="R6" s="507"/>
      <c r="S6" s="505" t="s">
        <v>1862</v>
      </c>
      <c r="T6" s="507"/>
      <c r="U6" s="505" t="s">
        <v>1850</v>
      </c>
      <c r="V6" s="507"/>
      <c r="W6" s="505" t="s">
        <v>1977</v>
      </c>
      <c r="X6" s="507"/>
      <c r="Y6" s="505" t="s">
        <v>1972</v>
      </c>
      <c r="Z6" s="507"/>
      <c r="AA6" s="505" t="s">
        <v>1862</v>
      </c>
      <c r="AB6" s="508"/>
      <c r="AC6" s="516"/>
      <c r="AD6" s="4"/>
    </row>
    <row r="7" spans="1:30" ht="29.1">
      <c r="A7" s="8"/>
      <c r="B7" s="8"/>
      <c r="C7" s="54"/>
      <c r="D7" s="504" t="s">
        <v>138</v>
      </c>
      <c r="E7" s="505" t="s">
        <v>1861</v>
      </c>
      <c r="F7" s="506"/>
      <c r="G7" s="505" t="s">
        <v>1851</v>
      </c>
      <c r="H7" s="507"/>
      <c r="I7" s="505" t="s">
        <v>1870</v>
      </c>
      <c r="J7" s="507"/>
      <c r="K7" s="505" t="s">
        <v>1859</v>
      </c>
      <c r="L7" s="507"/>
      <c r="M7" s="505" t="s">
        <v>203</v>
      </c>
      <c r="N7" s="507"/>
      <c r="O7" s="505" t="s">
        <v>1984</v>
      </c>
      <c r="P7" s="507"/>
      <c r="Q7" s="505" t="s">
        <v>1985</v>
      </c>
      <c r="R7" s="507"/>
      <c r="S7" s="505" t="s">
        <v>1873</v>
      </c>
      <c r="T7" s="507"/>
      <c r="U7" s="505" t="s">
        <v>1863</v>
      </c>
      <c r="V7" s="507"/>
      <c r="W7" s="505" t="s">
        <v>1978</v>
      </c>
      <c r="X7" s="507"/>
      <c r="Y7" s="505" t="s">
        <v>1973</v>
      </c>
      <c r="Z7" s="507"/>
      <c r="AA7" s="505" t="s">
        <v>1875</v>
      </c>
      <c r="AB7" s="508"/>
      <c r="AC7" s="516"/>
      <c r="AD7" s="4"/>
    </row>
    <row r="8" spans="1:30">
      <c r="A8" s="8"/>
      <c r="B8" s="8"/>
      <c r="C8" s="54"/>
      <c r="D8" s="504" t="s">
        <v>890</v>
      </c>
      <c r="E8" s="505" t="s">
        <v>891</v>
      </c>
      <c r="F8" s="506"/>
      <c r="G8" s="505" t="s">
        <v>891</v>
      </c>
      <c r="H8" s="507"/>
      <c r="I8" s="505" t="s">
        <v>891</v>
      </c>
      <c r="J8" s="507"/>
      <c r="K8" s="505" t="s">
        <v>891</v>
      </c>
      <c r="L8" s="507"/>
      <c r="M8" s="505" t="s">
        <v>891</v>
      </c>
      <c r="N8" s="507"/>
      <c r="O8" s="505" t="s">
        <v>891</v>
      </c>
      <c r="P8" s="507"/>
      <c r="Q8" s="505" t="s">
        <v>891</v>
      </c>
      <c r="R8" s="507"/>
      <c r="S8" s="505" t="s">
        <v>891</v>
      </c>
      <c r="T8" s="509"/>
      <c r="U8" s="505" t="s">
        <v>891</v>
      </c>
      <c r="V8" s="507"/>
      <c r="W8" s="505" t="s">
        <v>891</v>
      </c>
      <c r="X8" s="507"/>
      <c r="Y8" s="505" t="s">
        <v>891</v>
      </c>
      <c r="Z8" s="507"/>
      <c r="AA8" s="505" t="s">
        <v>891</v>
      </c>
      <c r="AB8" s="508"/>
      <c r="AC8" s="516"/>
      <c r="AD8" s="4"/>
    </row>
    <row r="9" spans="1:30">
      <c r="A9" s="8"/>
      <c r="B9" s="8"/>
      <c r="C9" s="54"/>
      <c r="D9" s="504" t="s">
        <v>140</v>
      </c>
      <c r="E9" s="505" t="s">
        <v>1107</v>
      </c>
      <c r="F9" s="506"/>
      <c r="G9" s="505" t="s">
        <v>1107</v>
      </c>
      <c r="H9" s="507"/>
      <c r="I9" s="505" t="s">
        <v>1107</v>
      </c>
      <c r="J9" s="507"/>
      <c r="K9" s="505" t="s">
        <v>1107</v>
      </c>
      <c r="L9" s="507"/>
      <c r="M9" s="505" t="s">
        <v>1107</v>
      </c>
      <c r="N9" s="507"/>
      <c r="O9" s="505" t="s">
        <v>1107</v>
      </c>
      <c r="P9" s="507"/>
      <c r="Q9" s="505" t="s">
        <v>1107</v>
      </c>
      <c r="R9" s="507"/>
      <c r="S9" s="505" t="s">
        <v>1107</v>
      </c>
      <c r="T9" s="507"/>
      <c r="U9" s="505" t="s">
        <v>1107</v>
      </c>
      <c r="V9" s="507"/>
      <c r="W9" s="505" t="s">
        <v>1107</v>
      </c>
      <c r="X9" s="507"/>
      <c r="Y9" s="505" t="s">
        <v>1107</v>
      </c>
      <c r="Z9" s="507"/>
      <c r="AA9" s="505" t="s">
        <v>1107</v>
      </c>
      <c r="AB9" s="510"/>
      <c r="AC9" s="516"/>
      <c r="AD9" s="4"/>
    </row>
    <row r="10" spans="1:30" ht="43.5">
      <c r="A10" s="8"/>
      <c r="B10" s="8"/>
      <c r="C10" s="54"/>
      <c r="D10" s="504" t="s">
        <v>1080</v>
      </c>
      <c r="E10" s="505" t="s">
        <v>732</v>
      </c>
      <c r="F10" s="506"/>
      <c r="G10" s="505" t="s">
        <v>732</v>
      </c>
      <c r="H10" s="507"/>
      <c r="I10" s="505" t="s">
        <v>1969</v>
      </c>
      <c r="J10" s="507"/>
      <c r="K10" s="505" t="s">
        <v>1962</v>
      </c>
      <c r="L10" s="507"/>
      <c r="M10" s="505" t="s">
        <v>1967</v>
      </c>
      <c r="N10" s="507"/>
      <c r="O10" s="505"/>
      <c r="P10" s="507"/>
      <c r="Q10" s="505"/>
      <c r="R10" s="507"/>
      <c r="S10" s="505"/>
      <c r="T10" s="507"/>
      <c r="U10" s="505"/>
      <c r="V10" s="507"/>
      <c r="W10" s="505"/>
      <c r="X10" s="507"/>
      <c r="Y10" s="505" t="s">
        <v>1986</v>
      </c>
      <c r="Z10" s="507"/>
      <c r="AA10" s="505"/>
      <c r="AB10" s="510"/>
      <c r="AC10" s="516"/>
      <c r="AD10" s="4"/>
    </row>
    <row r="11" spans="1:30" ht="130.5">
      <c r="A11" s="8"/>
      <c r="B11" s="8"/>
      <c r="C11" s="54"/>
      <c r="D11" s="504" t="s">
        <v>1780</v>
      </c>
      <c r="E11" s="505" t="s">
        <v>1964</v>
      </c>
      <c r="F11" s="506"/>
      <c r="G11" s="505" t="s">
        <v>1971</v>
      </c>
      <c r="H11" s="507"/>
      <c r="I11" s="505" t="s">
        <v>1970</v>
      </c>
      <c r="J11" s="507"/>
      <c r="K11" s="505" t="s">
        <v>1963</v>
      </c>
      <c r="L11" s="507"/>
      <c r="M11" s="505"/>
      <c r="N11" s="507"/>
      <c r="O11" s="505"/>
      <c r="P11" s="507"/>
      <c r="Q11" s="505"/>
      <c r="R11" s="507"/>
      <c r="S11" s="505"/>
      <c r="T11" s="507"/>
      <c r="U11" s="505"/>
      <c r="V11" s="507"/>
      <c r="W11" s="505"/>
      <c r="X11" s="507"/>
      <c r="Y11" s="505" t="s">
        <v>1987</v>
      </c>
      <c r="Z11" s="507"/>
      <c r="AA11" s="505"/>
      <c r="AB11" s="510"/>
      <c r="AC11" s="516"/>
      <c r="AD11" s="4"/>
    </row>
    <row r="12" spans="1:30">
      <c r="A12" s="8"/>
      <c r="B12" s="8"/>
      <c r="C12" s="54"/>
      <c r="D12" s="504" t="s">
        <v>1988</v>
      </c>
      <c r="E12" s="533" t="s">
        <v>313</v>
      </c>
      <c r="F12" s="506"/>
      <c r="G12" s="505" t="s">
        <v>313</v>
      </c>
      <c r="H12" s="507"/>
      <c r="I12" s="505" t="s">
        <v>313</v>
      </c>
      <c r="J12" s="507"/>
      <c r="K12" s="505" t="s">
        <v>313</v>
      </c>
      <c r="L12" s="507"/>
      <c r="M12" s="505" t="s">
        <v>330</v>
      </c>
      <c r="N12" s="507"/>
      <c r="O12" s="505" t="s">
        <v>330</v>
      </c>
      <c r="P12" s="507"/>
      <c r="Q12" s="505" t="s">
        <v>330</v>
      </c>
      <c r="R12" s="507"/>
      <c r="S12" s="505" t="s">
        <v>330</v>
      </c>
      <c r="T12" s="507"/>
      <c r="U12" s="505" t="s">
        <v>334</v>
      </c>
      <c r="V12" s="507"/>
      <c r="W12" s="505" t="s">
        <v>338</v>
      </c>
      <c r="X12" s="507"/>
      <c r="Y12" s="505" t="s">
        <v>313</v>
      </c>
      <c r="Z12" s="507"/>
      <c r="AA12" s="505" t="s">
        <v>313</v>
      </c>
      <c r="AB12" s="510"/>
      <c r="AC12" s="516"/>
      <c r="AD12" s="4"/>
    </row>
    <row r="13" spans="1:30">
      <c r="A13" s="8"/>
      <c r="B13" s="8"/>
      <c r="C13" s="54"/>
      <c r="D13" s="504" t="s">
        <v>1989</v>
      </c>
      <c r="E13" s="534" t="s">
        <v>326</v>
      </c>
      <c r="F13" s="512"/>
      <c r="G13" s="511" t="s">
        <v>326</v>
      </c>
      <c r="H13" s="513"/>
      <c r="I13" s="511" t="s">
        <v>324</v>
      </c>
      <c r="J13" s="513"/>
      <c r="K13" s="511" t="s">
        <v>314</v>
      </c>
      <c r="L13" s="513"/>
      <c r="M13" s="511" t="s">
        <v>322</v>
      </c>
      <c r="N13" s="513"/>
      <c r="O13" s="511" t="s">
        <v>331</v>
      </c>
      <c r="P13" s="513"/>
      <c r="Q13" s="511" t="s">
        <v>331</v>
      </c>
      <c r="R13" s="513"/>
      <c r="S13" s="511" t="s">
        <v>331</v>
      </c>
      <c r="T13" s="509"/>
      <c r="U13" s="511" t="s">
        <v>335</v>
      </c>
      <c r="V13" s="513"/>
      <c r="W13" s="511" t="s">
        <v>339</v>
      </c>
      <c r="X13" s="513"/>
      <c r="Y13" s="511" t="s">
        <v>328</v>
      </c>
      <c r="Z13" s="513"/>
      <c r="AA13" s="511" t="s">
        <v>319</v>
      </c>
      <c r="AB13" s="510"/>
      <c r="AC13" s="516"/>
      <c r="AD13" s="4"/>
    </row>
    <row r="14" spans="1:30">
      <c r="A14" s="8"/>
      <c r="B14" s="8"/>
      <c r="C14" s="7"/>
      <c r="D14" s="7"/>
      <c r="E14" s="7"/>
      <c r="F14" s="7"/>
      <c r="G14" s="7"/>
      <c r="H14" s="7"/>
      <c r="I14" s="7"/>
      <c r="J14" s="7"/>
      <c r="K14" s="7"/>
      <c r="L14" s="7"/>
      <c r="M14" s="7"/>
      <c r="N14" s="7"/>
      <c r="O14" s="7"/>
      <c r="P14" s="7"/>
      <c r="Q14" s="7"/>
      <c r="R14" s="7"/>
      <c r="S14" s="7"/>
      <c r="T14" s="7"/>
      <c r="U14" s="7"/>
      <c r="V14" s="7"/>
      <c r="W14" s="7"/>
      <c r="X14" s="7"/>
      <c r="Y14" s="7"/>
      <c r="Z14" s="7"/>
      <c r="AA14" s="7"/>
      <c r="AB14" s="7"/>
      <c r="AC14" s="7"/>
      <c r="AD14" s="4"/>
    </row>
    <row r="15" spans="1:30">
      <c r="A15" s="8"/>
      <c r="B15" s="8"/>
      <c r="C15" s="54"/>
      <c r="D15" s="504" t="s">
        <v>892</v>
      </c>
      <c r="E15" s="505" t="s">
        <v>1536</v>
      </c>
      <c r="F15" s="510"/>
      <c r="G15" s="505" t="s">
        <v>1536</v>
      </c>
      <c r="H15" s="507"/>
      <c r="I15" s="505" t="s">
        <v>893</v>
      </c>
      <c r="J15" s="507"/>
      <c r="K15" s="505" t="s">
        <v>1536</v>
      </c>
      <c r="L15" s="507"/>
      <c r="M15" s="505" t="s">
        <v>1536</v>
      </c>
      <c r="N15" s="507"/>
      <c r="O15" s="505" t="s">
        <v>1536</v>
      </c>
      <c r="P15" s="507"/>
      <c r="Q15" s="505" t="s">
        <v>1536</v>
      </c>
      <c r="R15" s="507"/>
      <c r="S15" s="505" t="s">
        <v>1965</v>
      </c>
      <c r="T15" s="507"/>
      <c r="U15" s="505" t="s">
        <v>1536</v>
      </c>
      <c r="V15" s="507"/>
      <c r="W15" s="505" t="s">
        <v>1979</v>
      </c>
      <c r="X15" s="507"/>
      <c r="Y15" s="505" t="s">
        <v>893</v>
      </c>
      <c r="Z15" s="507"/>
      <c r="AA15" s="505" t="s">
        <v>1965</v>
      </c>
      <c r="AB15" s="510"/>
      <c r="AC15" s="516"/>
      <c r="AD15" s="4"/>
    </row>
    <row r="16" spans="1:30">
      <c r="A16" s="8"/>
      <c r="B16" s="8"/>
      <c r="C16" s="54"/>
      <c r="D16" s="504" t="s">
        <v>822</v>
      </c>
      <c r="E16" s="505" t="s">
        <v>1990</v>
      </c>
      <c r="F16" s="510"/>
      <c r="G16" s="505" t="s">
        <v>1990</v>
      </c>
      <c r="H16" s="507"/>
      <c r="I16" s="505" t="s">
        <v>1990</v>
      </c>
      <c r="J16" s="507"/>
      <c r="K16" s="505" t="s">
        <v>1990</v>
      </c>
      <c r="L16" s="507"/>
      <c r="M16" s="505" t="s">
        <v>1990</v>
      </c>
      <c r="N16" s="507"/>
      <c r="O16" s="505" t="s">
        <v>1990</v>
      </c>
      <c r="P16" s="507"/>
      <c r="Q16" s="505" t="s">
        <v>1990</v>
      </c>
      <c r="R16" s="507"/>
      <c r="S16" s="505" t="s">
        <v>1990</v>
      </c>
      <c r="T16" s="507"/>
      <c r="U16" s="505" t="s">
        <v>1990</v>
      </c>
      <c r="V16" s="507"/>
      <c r="W16" s="505" t="s">
        <v>1990</v>
      </c>
      <c r="X16" s="507"/>
      <c r="Y16" s="505" t="s">
        <v>1990</v>
      </c>
      <c r="Z16" s="507"/>
      <c r="AA16" s="505" t="s">
        <v>1990</v>
      </c>
      <c r="AB16" s="510"/>
      <c r="AC16" s="516"/>
      <c r="AD16" s="4"/>
    </row>
    <row r="17" spans="1:30">
      <c r="A17" s="8"/>
      <c r="B17" s="8"/>
      <c r="C17" s="54"/>
      <c r="D17" s="504" t="s">
        <v>895</v>
      </c>
      <c r="E17" s="505" t="s">
        <v>1990</v>
      </c>
      <c r="F17" s="510"/>
      <c r="G17" s="505" t="s">
        <v>1990</v>
      </c>
      <c r="H17" s="507"/>
      <c r="I17" s="505" t="s">
        <v>1990</v>
      </c>
      <c r="J17" s="507"/>
      <c r="K17" s="505" t="s">
        <v>1990</v>
      </c>
      <c r="L17" s="507"/>
      <c r="M17" s="505" t="s">
        <v>1990</v>
      </c>
      <c r="N17" s="507"/>
      <c r="O17" s="505" t="s">
        <v>1990</v>
      </c>
      <c r="P17" s="507"/>
      <c r="Q17" s="505" t="s">
        <v>1990</v>
      </c>
      <c r="R17" s="507"/>
      <c r="S17" s="505" t="s">
        <v>1990</v>
      </c>
      <c r="T17" s="507"/>
      <c r="U17" s="505" t="s">
        <v>1990</v>
      </c>
      <c r="V17" s="507"/>
      <c r="W17" s="505" t="s">
        <v>1990</v>
      </c>
      <c r="X17" s="507"/>
      <c r="Y17" s="505" t="s">
        <v>1990</v>
      </c>
      <c r="Z17" s="507"/>
      <c r="AA17" s="505" t="s">
        <v>1990</v>
      </c>
      <c r="AB17" s="510"/>
      <c r="AC17" s="516"/>
      <c r="AD17" s="4"/>
    </row>
    <row r="18" spans="1:30">
      <c r="A18" s="8"/>
      <c r="B18" s="8"/>
      <c r="C18" s="54"/>
      <c r="D18" s="504" t="s">
        <v>1991</v>
      </c>
      <c r="E18" s="505" t="s">
        <v>1992</v>
      </c>
      <c r="F18" s="510"/>
      <c r="G18" s="505" t="s">
        <v>1992</v>
      </c>
      <c r="H18" s="507"/>
      <c r="I18" s="505" t="s">
        <v>1992</v>
      </c>
      <c r="J18" s="507"/>
      <c r="K18" s="505" t="s">
        <v>1992</v>
      </c>
      <c r="L18" s="507"/>
      <c r="M18" s="505" t="s">
        <v>1992</v>
      </c>
      <c r="N18" s="507"/>
      <c r="O18" s="505" t="s">
        <v>1992</v>
      </c>
      <c r="P18" s="507"/>
      <c r="Q18" s="505" t="s">
        <v>1992</v>
      </c>
      <c r="R18" s="507"/>
      <c r="S18" s="505" t="s">
        <v>1992</v>
      </c>
      <c r="T18" s="509"/>
      <c r="U18" s="505" t="s">
        <v>1992</v>
      </c>
      <c r="V18" s="507"/>
      <c r="W18" s="505" t="s">
        <v>1992</v>
      </c>
      <c r="X18" s="507"/>
      <c r="Y18" s="505" t="s">
        <v>1992</v>
      </c>
      <c r="Z18" s="507"/>
      <c r="AA18" s="505" t="s">
        <v>1992</v>
      </c>
      <c r="AB18" s="510"/>
      <c r="AC18" s="516"/>
      <c r="AD18" s="4"/>
    </row>
    <row r="19" spans="1:30">
      <c r="A19" s="8"/>
      <c r="B19" s="8"/>
      <c r="C19" s="54"/>
      <c r="D19" s="504" t="s">
        <v>1828</v>
      </c>
      <c r="E19" s="505" t="s">
        <v>1993</v>
      </c>
      <c r="F19" s="510"/>
      <c r="G19" s="505" t="s">
        <v>1993</v>
      </c>
      <c r="H19" s="507"/>
      <c r="I19" s="505" t="s">
        <v>1993</v>
      </c>
      <c r="J19" s="507"/>
      <c r="K19" s="505" t="s">
        <v>1993</v>
      </c>
      <c r="L19" s="507"/>
      <c r="M19" s="505" t="s">
        <v>1993</v>
      </c>
      <c r="N19" s="507"/>
      <c r="O19" s="505" t="s">
        <v>1993</v>
      </c>
      <c r="P19" s="507"/>
      <c r="Q19" s="505" t="s">
        <v>1993</v>
      </c>
      <c r="R19" s="507"/>
      <c r="S19" s="505" t="s">
        <v>1993</v>
      </c>
      <c r="T19" s="509"/>
      <c r="U19" s="505" t="s">
        <v>1993</v>
      </c>
      <c r="V19" s="507"/>
      <c r="W19" s="505" t="s">
        <v>1993</v>
      </c>
      <c r="X19" s="507"/>
      <c r="Y19" s="505" t="s">
        <v>1993</v>
      </c>
      <c r="Z19" s="507"/>
      <c r="AA19" s="505" t="s">
        <v>1993</v>
      </c>
      <c r="AB19" s="510"/>
      <c r="AC19" s="516"/>
      <c r="AD19" s="4"/>
    </row>
    <row r="20" spans="1:30">
      <c r="A20" s="8"/>
      <c r="B20" s="8"/>
      <c r="C20" s="54"/>
      <c r="D20" s="504" t="s">
        <v>896</v>
      </c>
      <c r="E20" s="505" t="s">
        <v>1990</v>
      </c>
      <c r="F20" s="510"/>
      <c r="G20" s="505" t="s">
        <v>1990</v>
      </c>
      <c r="H20" s="507"/>
      <c r="I20" s="505" t="s">
        <v>1990</v>
      </c>
      <c r="J20" s="507"/>
      <c r="K20" s="505" t="s">
        <v>1990</v>
      </c>
      <c r="L20" s="507"/>
      <c r="M20" s="505" t="s">
        <v>1990</v>
      </c>
      <c r="N20" s="507"/>
      <c r="O20" s="505" t="s">
        <v>1990</v>
      </c>
      <c r="P20" s="507"/>
      <c r="Q20" s="505" t="s">
        <v>1990</v>
      </c>
      <c r="R20" s="507"/>
      <c r="S20" s="505" t="s">
        <v>1990</v>
      </c>
      <c r="T20" s="507"/>
      <c r="U20" s="505" t="s">
        <v>1990</v>
      </c>
      <c r="V20" s="507"/>
      <c r="W20" s="505" t="s">
        <v>1990</v>
      </c>
      <c r="X20" s="507"/>
      <c r="Y20" s="505" t="s">
        <v>1990</v>
      </c>
      <c r="Z20" s="507"/>
      <c r="AA20" s="505" t="s">
        <v>1990</v>
      </c>
      <c r="AB20" s="510"/>
      <c r="AC20" s="516"/>
      <c r="AD20" s="4"/>
    </row>
    <row r="21" spans="1:30">
      <c r="A21" s="8"/>
      <c r="B21" s="8"/>
      <c r="C21" s="54"/>
      <c r="D21" s="504" t="s">
        <v>477</v>
      </c>
      <c r="E21" s="505" t="s">
        <v>1990</v>
      </c>
      <c r="F21" s="510"/>
      <c r="G21" s="505" t="s">
        <v>1990</v>
      </c>
      <c r="H21" s="507"/>
      <c r="I21" s="505" t="s">
        <v>1990</v>
      </c>
      <c r="J21" s="507"/>
      <c r="K21" s="505" t="s">
        <v>1990</v>
      </c>
      <c r="L21" s="507"/>
      <c r="M21" s="505" t="s">
        <v>1990</v>
      </c>
      <c r="N21" s="507"/>
      <c r="O21" s="505" t="s">
        <v>1990</v>
      </c>
      <c r="P21" s="507"/>
      <c r="Q21" s="505" t="s">
        <v>1990</v>
      </c>
      <c r="R21" s="507"/>
      <c r="S21" s="505" t="s">
        <v>1990</v>
      </c>
      <c r="T21" s="507"/>
      <c r="U21" s="505" t="s">
        <v>1990</v>
      </c>
      <c r="V21" s="507"/>
      <c r="W21" s="505" t="s">
        <v>1990</v>
      </c>
      <c r="X21" s="507"/>
      <c r="Y21" s="505" t="s">
        <v>1990</v>
      </c>
      <c r="Z21" s="507"/>
      <c r="AA21" s="505" t="s">
        <v>1990</v>
      </c>
      <c r="AB21" s="510"/>
      <c r="AC21" s="516"/>
      <c r="AD21" s="4"/>
    </row>
    <row r="22" spans="1:30">
      <c r="A22" s="8"/>
      <c r="B22" s="8"/>
      <c r="C22" s="54"/>
      <c r="D22" s="504" t="s">
        <v>1994</v>
      </c>
      <c r="E22" s="505" t="s">
        <v>1570</v>
      </c>
      <c r="F22" s="510"/>
      <c r="G22" s="505" t="s">
        <v>1570</v>
      </c>
      <c r="H22" s="507"/>
      <c r="I22" s="505" t="s">
        <v>1570</v>
      </c>
      <c r="J22" s="507"/>
      <c r="K22" s="505" t="s">
        <v>1570</v>
      </c>
      <c r="L22" s="507"/>
      <c r="M22" s="505" t="s">
        <v>1570</v>
      </c>
      <c r="N22" s="507"/>
      <c r="O22" s="505" t="s">
        <v>1570</v>
      </c>
      <c r="P22" s="507"/>
      <c r="Q22" s="505" t="s">
        <v>1570</v>
      </c>
      <c r="R22" s="507"/>
      <c r="S22" s="505" t="s">
        <v>1570</v>
      </c>
      <c r="T22" s="507"/>
      <c r="U22" s="505" t="s">
        <v>1570</v>
      </c>
      <c r="V22" s="507"/>
      <c r="W22" s="505" t="s">
        <v>1570</v>
      </c>
      <c r="X22" s="507"/>
      <c r="Y22" s="505" t="s">
        <v>1570</v>
      </c>
      <c r="Z22" s="507"/>
      <c r="AA22" s="505" t="s">
        <v>1570</v>
      </c>
      <c r="AB22" s="510"/>
      <c r="AC22" s="516"/>
      <c r="AD22" s="4"/>
    </row>
    <row r="23" spans="1:30">
      <c r="A23" s="8"/>
      <c r="B23" s="8"/>
      <c r="C23" s="54"/>
      <c r="D23" s="504" t="s">
        <v>1995</v>
      </c>
      <c r="E23" s="519">
        <v>44805</v>
      </c>
      <c r="F23" s="510"/>
      <c r="G23" s="519">
        <v>44805</v>
      </c>
      <c r="H23" s="507"/>
      <c r="I23" s="519">
        <v>44805</v>
      </c>
      <c r="J23" s="507"/>
      <c r="K23" s="519">
        <v>44805</v>
      </c>
      <c r="L23" s="507"/>
      <c r="M23" s="519">
        <v>44805</v>
      </c>
      <c r="N23" s="507"/>
      <c r="O23" s="519">
        <v>44805</v>
      </c>
      <c r="P23" s="507"/>
      <c r="Q23" s="519">
        <v>44805</v>
      </c>
      <c r="R23" s="507"/>
      <c r="S23" s="519">
        <v>44805</v>
      </c>
      <c r="T23" s="507"/>
      <c r="U23" s="519">
        <v>44805</v>
      </c>
      <c r="V23" s="507"/>
      <c r="W23" s="519">
        <v>44805</v>
      </c>
      <c r="X23" s="507"/>
      <c r="Y23" s="519">
        <v>44805</v>
      </c>
      <c r="Z23" s="507"/>
      <c r="AA23" s="519">
        <v>44805</v>
      </c>
      <c r="AB23" s="510"/>
      <c r="AC23" s="516"/>
      <c r="AD23" s="4"/>
    </row>
    <row r="24" spans="1:30">
      <c r="A24" s="8"/>
      <c r="B24" s="8"/>
      <c r="C24" s="54"/>
      <c r="D24" s="504" t="s">
        <v>1996</v>
      </c>
      <c r="E24" s="519">
        <f>DATE(YEAR(E23)+1,MONTH(E23),DAY(E23))</f>
        <v>45170</v>
      </c>
      <c r="F24" s="510"/>
      <c r="G24" s="519">
        <f>DATE(YEAR(G23)+1,MONTH(G23),DAY(G23))</f>
        <v>45170</v>
      </c>
      <c r="H24" s="507"/>
      <c r="I24" s="519">
        <f>DATE(YEAR(I23)+1,MONTH(I23),DAY(I23))</f>
        <v>45170</v>
      </c>
      <c r="J24" s="507"/>
      <c r="K24" s="519">
        <f>DATE(YEAR(K23)+1,MONTH(K23),DAY(K23))</f>
        <v>45170</v>
      </c>
      <c r="L24" s="507"/>
      <c r="M24" s="519">
        <f>DATE(YEAR(M23)+1,MONTH(M23),DAY(M23))</f>
        <v>45170</v>
      </c>
      <c r="N24" s="507"/>
      <c r="O24" s="519">
        <f>DATE(YEAR(O23)+1,MONTH(O23),DAY(O23))</f>
        <v>45170</v>
      </c>
      <c r="P24" s="507"/>
      <c r="Q24" s="519">
        <f>DATE(YEAR(Q23)+1,MONTH(Q23),DAY(Q23))</f>
        <v>45170</v>
      </c>
      <c r="R24" s="507"/>
      <c r="S24" s="519">
        <f>DATE(YEAR(S23)+1,MONTH(S23),DAY(S23))</f>
        <v>45170</v>
      </c>
      <c r="T24" s="507"/>
      <c r="U24" s="519">
        <f>DATE(YEAR(U23)+1,MONTH(U23),DAY(U23))</f>
        <v>45170</v>
      </c>
      <c r="V24" s="507"/>
      <c r="W24" s="519">
        <f>DATE(YEAR(W23)+1,MONTH(W23),DAY(W23))</f>
        <v>45170</v>
      </c>
      <c r="X24" s="507"/>
      <c r="Y24" s="519">
        <f>DATE(YEAR(Y23)+1,MONTH(Y23),DAY(Y23))</f>
        <v>45170</v>
      </c>
      <c r="Z24" s="507"/>
      <c r="AA24" s="519">
        <f>DATE(YEAR(AA23)+1,MONTH(AA23),DAY(AA23))</f>
        <v>45170</v>
      </c>
      <c r="AB24" s="510"/>
      <c r="AC24" s="516"/>
      <c r="AD24" s="4"/>
    </row>
    <row r="25" spans="1:30">
      <c r="A25" s="8"/>
      <c r="B25" s="8"/>
      <c r="C25" s="54"/>
      <c r="D25" s="504" t="s">
        <v>1997</v>
      </c>
      <c r="E25" s="519" t="s">
        <v>1652</v>
      </c>
      <c r="F25" s="510"/>
      <c r="G25" s="519" t="s">
        <v>1652</v>
      </c>
      <c r="H25" s="507"/>
      <c r="I25" s="519" t="s">
        <v>1998</v>
      </c>
      <c r="J25" s="507"/>
      <c r="K25" s="519" t="s">
        <v>1998</v>
      </c>
      <c r="L25" s="507"/>
      <c r="M25" s="519" t="s">
        <v>1652</v>
      </c>
      <c r="N25" s="507"/>
      <c r="O25" s="519" t="s">
        <v>1652</v>
      </c>
      <c r="P25" s="507"/>
      <c r="Q25" s="519" t="s">
        <v>1652</v>
      </c>
      <c r="R25" s="507"/>
      <c r="S25" s="519" t="s">
        <v>1998</v>
      </c>
      <c r="T25" s="509"/>
      <c r="U25" s="519" t="s">
        <v>1998</v>
      </c>
      <c r="V25" s="507"/>
      <c r="W25" s="519" t="s">
        <v>1998</v>
      </c>
      <c r="X25" s="507"/>
      <c r="Y25" s="519" t="s">
        <v>1998</v>
      </c>
      <c r="Z25" s="507"/>
      <c r="AA25" s="519" t="s">
        <v>1652</v>
      </c>
      <c r="AB25" s="510"/>
      <c r="AC25" s="516"/>
      <c r="AD25" s="4"/>
    </row>
    <row r="26" spans="1:30" ht="29.1">
      <c r="A26" s="8"/>
      <c r="B26" s="8"/>
      <c r="C26" s="54"/>
      <c r="D26" s="504" t="s">
        <v>1999</v>
      </c>
      <c r="E26" s="519" t="s">
        <v>2000</v>
      </c>
      <c r="F26" s="510"/>
      <c r="G26" s="519" t="s">
        <v>2000</v>
      </c>
      <c r="H26" s="507"/>
      <c r="I26" s="519" t="s">
        <v>2000</v>
      </c>
      <c r="J26" s="507"/>
      <c r="K26" s="519" t="s">
        <v>2000</v>
      </c>
      <c r="L26" s="507"/>
      <c r="M26" s="519" t="s">
        <v>2000</v>
      </c>
      <c r="N26" s="507"/>
      <c r="O26" s="519" t="s">
        <v>2000</v>
      </c>
      <c r="P26" s="507"/>
      <c r="Q26" s="519" t="s">
        <v>2000</v>
      </c>
      <c r="R26" s="507"/>
      <c r="S26" s="519" t="s">
        <v>2000</v>
      </c>
      <c r="T26" s="507"/>
      <c r="U26" s="519" t="s">
        <v>2000</v>
      </c>
      <c r="V26" s="507"/>
      <c r="W26" s="519" t="s">
        <v>2000</v>
      </c>
      <c r="X26" s="507"/>
      <c r="Y26" s="519" t="s">
        <v>2000</v>
      </c>
      <c r="Z26" s="507"/>
      <c r="AA26" s="519" t="s">
        <v>2000</v>
      </c>
      <c r="AB26" s="510"/>
      <c r="AC26" s="516"/>
      <c r="AD26" s="4"/>
    </row>
    <row r="27" spans="1:30" ht="29.1">
      <c r="A27" s="8"/>
      <c r="B27" s="8"/>
      <c r="C27" s="54"/>
      <c r="D27" s="504" t="s">
        <v>2001</v>
      </c>
      <c r="E27" s="519" t="s">
        <v>2000</v>
      </c>
      <c r="F27" s="510"/>
      <c r="G27" s="519" t="s">
        <v>2000</v>
      </c>
      <c r="H27" s="507"/>
      <c r="I27" s="519" t="s">
        <v>2000</v>
      </c>
      <c r="J27" s="507"/>
      <c r="K27" s="519" t="s">
        <v>2000</v>
      </c>
      <c r="L27" s="507"/>
      <c r="M27" s="519" t="s">
        <v>2000</v>
      </c>
      <c r="N27" s="507"/>
      <c r="O27" s="519" t="s">
        <v>2000</v>
      </c>
      <c r="P27" s="507"/>
      <c r="Q27" s="519" t="s">
        <v>2000</v>
      </c>
      <c r="R27" s="507"/>
      <c r="S27" s="519" t="s">
        <v>2000</v>
      </c>
      <c r="T27" s="509"/>
      <c r="U27" s="519" t="s">
        <v>2000</v>
      </c>
      <c r="V27" s="507"/>
      <c r="W27" s="519" t="s">
        <v>2000</v>
      </c>
      <c r="X27" s="507"/>
      <c r="Y27" s="519" t="s">
        <v>2000</v>
      </c>
      <c r="Z27" s="507"/>
      <c r="AA27" s="519" t="s">
        <v>2000</v>
      </c>
      <c r="AB27" s="510"/>
      <c r="AC27" s="516"/>
      <c r="AD27" s="4"/>
    </row>
    <row r="28" spans="1:30">
      <c r="A28" s="8"/>
      <c r="B28" s="8"/>
      <c r="C28" s="54"/>
      <c r="D28" s="514"/>
      <c r="E28" s="520"/>
      <c r="F28" s="516"/>
      <c r="G28" s="520"/>
      <c r="H28" s="516"/>
      <c r="I28" s="520"/>
      <c r="J28" s="516"/>
      <c r="K28" s="520"/>
      <c r="L28" s="516"/>
      <c r="M28" s="520"/>
      <c r="N28" s="516"/>
      <c r="O28" s="520"/>
      <c r="P28" s="516"/>
      <c r="Q28" s="520"/>
      <c r="R28" s="516"/>
      <c r="S28" s="520"/>
      <c r="T28" s="521"/>
      <c r="U28" s="520"/>
      <c r="V28" s="516"/>
      <c r="W28" s="520"/>
      <c r="X28" s="516"/>
      <c r="Y28" s="520"/>
      <c r="Z28" s="516"/>
      <c r="AA28" s="520"/>
      <c r="AB28" s="516"/>
      <c r="AC28" s="516"/>
      <c r="AD28" s="4"/>
    </row>
    <row r="29" spans="1:30">
      <c r="A29" s="8"/>
      <c r="B29" s="8"/>
      <c r="C29" s="54"/>
      <c r="D29" s="504" t="s">
        <v>2002</v>
      </c>
      <c r="E29" s="537" t="s">
        <v>1107</v>
      </c>
      <c r="F29" s="523"/>
      <c r="G29" s="537" t="s">
        <v>1107</v>
      </c>
      <c r="H29" s="96"/>
      <c r="I29" s="537" t="s">
        <v>1107</v>
      </c>
      <c r="J29" s="96"/>
      <c r="K29" s="537" t="s">
        <v>1107</v>
      </c>
      <c r="L29" s="538"/>
      <c r="M29" s="26" t="s">
        <v>1107</v>
      </c>
      <c r="N29" s="538"/>
      <c r="O29" s="537" t="s">
        <v>1107</v>
      </c>
      <c r="P29" s="538"/>
      <c r="Q29" s="537" t="s">
        <v>1107</v>
      </c>
      <c r="R29" s="538"/>
      <c r="S29" s="537" t="s">
        <v>1107</v>
      </c>
      <c r="T29" s="538"/>
      <c r="U29" s="537" t="s">
        <v>1107</v>
      </c>
      <c r="V29" s="538"/>
      <c r="W29" s="537" t="s">
        <v>1107</v>
      </c>
      <c r="X29" s="538"/>
      <c r="Y29" s="537" t="s">
        <v>1107</v>
      </c>
      <c r="Z29" s="538"/>
      <c r="AA29" s="537" t="s">
        <v>1107</v>
      </c>
      <c r="AB29" s="523"/>
      <c r="AC29" s="516"/>
      <c r="AD29" s="4"/>
    </row>
    <row r="30" spans="1:30">
      <c r="A30" s="8"/>
      <c r="B30" s="8"/>
      <c r="C30" s="54"/>
      <c r="D30" s="504" t="s">
        <v>17</v>
      </c>
      <c r="E30" s="537" t="s">
        <v>1107</v>
      </c>
      <c r="F30" s="523"/>
      <c r="G30" s="537" t="s">
        <v>1107</v>
      </c>
      <c r="H30" s="96"/>
      <c r="I30" s="537" t="s">
        <v>1107</v>
      </c>
      <c r="J30" s="96"/>
      <c r="K30" s="537" t="s">
        <v>1107</v>
      </c>
      <c r="L30" s="538"/>
      <c r="M30" s="26" t="s">
        <v>1107</v>
      </c>
      <c r="N30" s="538"/>
      <c r="O30" s="537" t="s">
        <v>1107</v>
      </c>
      <c r="P30" s="538"/>
      <c r="Q30" s="537" t="s">
        <v>1107</v>
      </c>
      <c r="R30" s="538"/>
      <c r="S30" s="537" t="s">
        <v>1107</v>
      </c>
      <c r="T30" s="538"/>
      <c r="U30" s="537" t="s">
        <v>1107</v>
      </c>
      <c r="V30" s="538"/>
      <c r="W30" s="537" t="s">
        <v>1107</v>
      </c>
      <c r="X30" s="538"/>
      <c r="Y30" s="537" t="s">
        <v>1107</v>
      </c>
      <c r="Z30" s="538"/>
      <c r="AA30" s="537" t="s">
        <v>1107</v>
      </c>
      <c r="AB30" s="523"/>
      <c r="AC30" s="516"/>
      <c r="AD30" s="4"/>
    </row>
    <row r="31" spans="1:30" ht="29.1">
      <c r="A31" s="8"/>
      <c r="B31" s="8"/>
      <c r="C31" s="54"/>
      <c r="D31" s="504" t="s">
        <v>2003</v>
      </c>
      <c r="E31" s="535" t="s">
        <v>2004</v>
      </c>
      <c r="F31" s="510"/>
      <c r="G31" s="522" t="s">
        <v>2004</v>
      </c>
      <c r="H31" s="510"/>
      <c r="I31" s="535" t="s">
        <v>2005</v>
      </c>
      <c r="J31" s="516"/>
      <c r="K31" s="535" t="s">
        <v>2004</v>
      </c>
      <c r="L31" s="516"/>
      <c r="M31" s="535" t="s">
        <v>2004</v>
      </c>
      <c r="N31" s="516"/>
      <c r="O31" s="535" t="s">
        <v>2004</v>
      </c>
      <c r="P31" s="516"/>
      <c r="Q31" s="535" t="s">
        <v>2004</v>
      </c>
      <c r="R31" s="516"/>
      <c r="S31" s="535" t="s">
        <v>2005</v>
      </c>
      <c r="T31" s="516"/>
      <c r="U31" s="535" t="s">
        <v>2004</v>
      </c>
      <c r="V31" s="516"/>
      <c r="W31" s="535" t="s">
        <v>2006</v>
      </c>
      <c r="X31" s="516"/>
      <c r="Y31" s="535" t="s">
        <v>2007</v>
      </c>
      <c r="Z31" s="516"/>
      <c r="AA31" s="535" t="s">
        <v>2006</v>
      </c>
      <c r="AB31" s="510"/>
      <c r="AC31" s="516"/>
      <c r="AD31" s="4"/>
    </row>
    <row r="32" spans="1:30">
      <c r="A32" s="8"/>
      <c r="B32" s="8"/>
      <c r="C32" s="54"/>
      <c r="D32" s="504" t="s">
        <v>2008</v>
      </c>
      <c r="E32" s="537" t="s">
        <v>1107</v>
      </c>
      <c r="F32" s="510"/>
      <c r="G32" s="537" t="s">
        <v>1107</v>
      </c>
      <c r="H32" s="510"/>
      <c r="I32" s="537" t="s">
        <v>1107</v>
      </c>
      <c r="J32" s="516"/>
      <c r="K32" s="537" t="s">
        <v>1107</v>
      </c>
      <c r="L32" s="516"/>
      <c r="M32" s="537" t="s">
        <v>1107</v>
      </c>
      <c r="N32" s="516"/>
      <c r="O32" s="537" t="s">
        <v>1107</v>
      </c>
      <c r="P32" s="516"/>
      <c r="Q32" s="537" t="s">
        <v>1107</v>
      </c>
      <c r="R32" s="516"/>
      <c r="S32" s="537" t="s">
        <v>1107</v>
      </c>
      <c r="T32" s="516"/>
      <c r="U32" s="537" t="s">
        <v>1107</v>
      </c>
      <c r="V32" s="516"/>
      <c r="W32" s="537" t="s">
        <v>1107</v>
      </c>
      <c r="X32" s="516"/>
      <c r="Y32" s="537" t="s">
        <v>1107</v>
      </c>
      <c r="Z32" s="516"/>
      <c r="AA32" s="537" t="s">
        <v>1107</v>
      </c>
      <c r="AB32" s="510"/>
      <c r="AC32" s="516"/>
      <c r="AD32" s="4"/>
    </row>
    <row r="33" spans="1:30">
      <c r="A33" s="8"/>
      <c r="B33" s="8"/>
      <c r="C33" s="54"/>
      <c r="D33" s="504" t="s">
        <v>1246</v>
      </c>
      <c r="E33" s="537" t="s">
        <v>1107</v>
      </c>
      <c r="F33" s="510"/>
      <c r="G33" s="537" t="s">
        <v>1107</v>
      </c>
      <c r="H33" s="510"/>
      <c r="I33" s="537" t="s">
        <v>1107</v>
      </c>
      <c r="J33" s="516"/>
      <c r="K33" s="537" t="s">
        <v>1107</v>
      </c>
      <c r="L33" s="516"/>
      <c r="M33" s="537" t="s">
        <v>1107</v>
      </c>
      <c r="N33" s="516"/>
      <c r="O33" s="537" t="s">
        <v>1107</v>
      </c>
      <c r="P33" s="510"/>
      <c r="Q33" s="537" t="s">
        <v>1107</v>
      </c>
      <c r="R33" s="516"/>
      <c r="S33" s="537" t="s">
        <v>1107</v>
      </c>
      <c r="T33" s="510"/>
      <c r="U33" s="537" t="s">
        <v>1107</v>
      </c>
      <c r="V33" s="510"/>
      <c r="W33" s="537" t="s">
        <v>1107</v>
      </c>
      <c r="X33" s="510"/>
      <c r="Y33" s="537" t="s">
        <v>1107</v>
      </c>
      <c r="Z33" s="510"/>
      <c r="AA33" s="537" t="s">
        <v>1107</v>
      </c>
      <c r="AB33" s="510"/>
      <c r="AC33" s="516"/>
      <c r="AD33" s="4"/>
    </row>
    <row r="34" spans="1:30">
      <c r="A34" s="8"/>
      <c r="B34" s="8"/>
      <c r="C34" s="54"/>
      <c r="D34" s="504" t="s">
        <v>2009</v>
      </c>
      <c r="E34" s="505" t="s">
        <v>2010</v>
      </c>
      <c r="F34" s="507">
        <v>1</v>
      </c>
      <c r="G34" s="505" t="s">
        <v>2011</v>
      </c>
      <c r="H34" s="507">
        <v>1</v>
      </c>
      <c r="I34" s="505" t="s">
        <v>2012</v>
      </c>
      <c r="J34" s="507">
        <v>1</v>
      </c>
      <c r="K34" s="505" t="s">
        <v>2011</v>
      </c>
      <c r="L34" s="507">
        <v>1</v>
      </c>
      <c r="M34" s="503" t="s">
        <v>2011</v>
      </c>
      <c r="N34" s="517">
        <v>1</v>
      </c>
      <c r="O34" s="505" t="s">
        <v>2013</v>
      </c>
      <c r="P34" s="507">
        <v>1</v>
      </c>
      <c r="Q34" s="503" t="s">
        <v>2012</v>
      </c>
      <c r="R34" s="516">
        <v>1</v>
      </c>
      <c r="S34" s="505" t="s">
        <v>2014</v>
      </c>
      <c r="T34" s="510">
        <v>1</v>
      </c>
      <c r="U34" s="505" t="s">
        <v>2015</v>
      </c>
      <c r="V34" s="507">
        <v>1</v>
      </c>
      <c r="W34" s="505" t="s">
        <v>2013</v>
      </c>
      <c r="X34" s="507">
        <v>1</v>
      </c>
      <c r="Y34" s="505" t="s">
        <v>2013</v>
      </c>
      <c r="Z34" s="507">
        <v>1</v>
      </c>
      <c r="AA34" s="505" t="s">
        <v>441</v>
      </c>
      <c r="AB34" s="510">
        <v>1</v>
      </c>
      <c r="AC34" s="516"/>
      <c r="AD34" s="4"/>
    </row>
    <row r="35" spans="1:30" ht="29.1">
      <c r="A35" s="8"/>
      <c r="B35" s="8"/>
      <c r="C35" s="54"/>
      <c r="D35" s="504" t="s">
        <v>2016</v>
      </c>
      <c r="E35" s="505" t="s">
        <v>317</v>
      </c>
      <c r="F35" s="507">
        <v>4</v>
      </c>
      <c r="G35" s="505" t="s">
        <v>317</v>
      </c>
      <c r="H35" s="507">
        <v>4</v>
      </c>
      <c r="I35" s="505" t="s">
        <v>317</v>
      </c>
      <c r="J35" s="507">
        <v>4</v>
      </c>
      <c r="K35" s="505" t="s">
        <v>317</v>
      </c>
      <c r="L35" s="507">
        <v>4</v>
      </c>
      <c r="M35" s="503" t="s">
        <v>317</v>
      </c>
      <c r="N35" s="517">
        <v>4</v>
      </c>
      <c r="O35" s="505" t="s">
        <v>317</v>
      </c>
      <c r="P35" s="507">
        <v>4</v>
      </c>
      <c r="Q35" s="505" t="s">
        <v>317</v>
      </c>
      <c r="R35" s="516">
        <v>4</v>
      </c>
      <c r="S35" s="505" t="s">
        <v>317</v>
      </c>
      <c r="T35" s="510">
        <v>4</v>
      </c>
      <c r="U35" s="505" t="s">
        <v>317</v>
      </c>
      <c r="V35" s="507">
        <v>4</v>
      </c>
      <c r="W35" s="505" t="s">
        <v>317</v>
      </c>
      <c r="X35" s="507">
        <v>4</v>
      </c>
      <c r="Y35" s="505" t="s">
        <v>317</v>
      </c>
      <c r="Z35" s="507">
        <v>4</v>
      </c>
      <c r="AA35" s="505" t="s">
        <v>317</v>
      </c>
      <c r="AB35" s="510">
        <v>4</v>
      </c>
      <c r="AC35" s="516"/>
      <c r="AD35" s="4"/>
    </row>
    <row r="36" spans="1:30">
      <c r="A36" s="8"/>
      <c r="B36" s="8"/>
      <c r="C36" s="54"/>
      <c r="D36" s="504" t="s">
        <v>2017</v>
      </c>
      <c r="E36" s="524">
        <v>0.99990000000000001</v>
      </c>
      <c r="F36" s="507"/>
      <c r="G36" s="524">
        <v>0.99990000000000001</v>
      </c>
      <c r="H36" s="507"/>
      <c r="I36" s="524">
        <v>0.99990000000000001</v>
      </c>
      <c r="J36" s="507"/>
      <c r="K36" s="524">
        <v>0.99990000000000001</v>
      </c>
      <c r="L36" s="507"/>
      <c r="M36" s="536">
        <v>0.99990000000000001</v>
      </c>
      <c r="N36" s="517"/>
      <c r="O36" s="524">
        <v>0.99990000000000001</v>
      </c>
      <c r="P36" s="507"/>
      <c r="Q36" s="524">
        <v>0.99990000000000001</v>
      </c>
      <c r="R36" s="510"/>
      <c r="S36" s="524">
        <v>0.99990000000000001</v>
      </c>
      <c r="T36" s="510"/>
      <c r="U36" s="524">
        <v>0.99950000000000006</v>
      </c>
      <c r="V36" s="507"/>
      <c r="W36" s="524">
        <v>0.99950000000000006</v>
      </c>
      <c r="X36" s="507"/>
      <c r="Y36" s="524">
        <v>0.99</v>
      </c>
      <c r="Z36" s="507"/>
      <c r="AA36" s="524">
        <v>0.99</v>
      </c>
      <c r="AB36" s="510"/>
      <c r="AC36" s="516"/>
      <c r="AD36" s="4"/>
    </row>
    <row r="37" spans="1:30" ht="29.1">
      <c r="A37" s="8"/>
      <c r="B37" s="8"/>
      <c r="C37" s="54"/>
      <c r="D37" s="504" t="s">
        <v>2018</v>
      </c>
      <c r="E37" s="524" t="s">
        <v>2019</v>
      </c>
      <c r="F37" s="507"/>
      <c r="G37" s="524" t="s">
        <v>2019</v>
      </c>
      <c r="H37" s="507"/>
      <c r="I37" s="524" t="s">
        <v>2019</v>
      </c>
      <c r="J37" s="507"/>
      <c r="K37" s="524" t="s">
        <v>2019</v>
      </c>
      <c r="L37" s="507"/>
      <c r="M37" s="524" t="s">
        <v>2019</v>
      </c>
      <c r="N37" s="507"/>
      <c r="O37" s="524" t="s">
        <v>2019</v>
      </c>
      <c r="P37" s="507"/>
      <c r="Q37" s="524" t="s">
        <v>2019</v>
      </c>
      <c r="R37" s="510"/>
      <c r="S37" s="524" t="s">
        <v>2019</v>
      </c>
      <c r="T37" s="523"/>
      <c r="U37" s="524" t="s">
        <v>2020</v>
      </c>
      <c r="V37" s="507"/>
      <c r="W37" s="524" t="s">
        <v>2020</v>
      </c>
      <c r="X37" s="507"/>
      <c r="Y37" s="524" t="s">
        <v>2021</v>
      </c>
      <c r="Z37" s="507"/>
      <c r="AA37" s="524" t="s">
        <v>2021</v>
      </c>
      <c r="AB37" s="510"/>
      <c r="AC37" s="516"/>
      <c r="AD37" s="4"/>
    </row>
    <row r="38" spans="1:30">
      <c r="A38" s="8"/>
      <c r="B38" s="8"/>
      <c r="C38" s="54"/>
      <c r="D38" s="504" t="s">
        <v>1085</v>
      </c>
      <c r="E38" s="524" t="s">
        <v>2022</v>
      </c>
      <c r="F38" s="507"/>
      <c r="G38" s="524" t="s">
        <v>2000</v>
      </c>
      <c r="H38" s="507"/>
      <c r="I38" s="524" t="s">
        <v>1104</v>
      </c>
      <c r="J38" s="507"/>
      <c r="K38" s="524" t="s">
        <v>316</v>
      </c>
      <c r="L38" s="507"/>
      <c r="M38" s="524" t="s">
        <v>316</v>
      </c>
      <c r="N38" s="507"/>
      <c r="O38" s="524" t="s">
        <v>2000</v>
      </c>
      <c r="P38" s="507"/>
      <c r="Q38" s="524" t="s">
        <v>316</v>
      </c>
      <c r="R38" s="510"/>
      <c r="S38" s="524" t="s">
        <v>2023</v>
      </c>
      <c r="T38" s="510"/>
      <c r="U38" s="524" t="s">
        <v>316</v>
      </c>
      <c r="V38" s="507"/>
      <c r="W38" s="524" t="s">
        <v>1104</v>
      </c>
      <c r="X38" s="507"/>
      <c r="Y38" s="524" t="s">
        <v>1104</v>
      </c>
      <c r="Z38" s="507"/>
      <c r="AA38" s="524" t="s">
        <v>1104</v>
      </c>
      <c r="AB38" s="510"/>
      <c r="AC38" s="516"/>
      <c r="AD38" s="4"/>
    </row>
    <row r="39" spans="1:30">
      <c r="A39" s="8"/>
      <c r="B39" s="8"/>
      <c r="C39" s="54"/>
      <c r="D39" s="504" t="s">
        <v>1086</v>
      </c>
      <c r="E39" s="524" t="s">
        <v>1088</v>
      </c>
      <c r="F39" s="507"/>
      <c r="G39" s="524" t="s">
        <v>2000</v>
      </c>
      <c r="H39" s="507"/>
      <c r="I39" s="524" t="s">
        <v>2000</v>
      </c>
      <c r="J39" s="507"/>
      <c r="K39" s="524" t="s">
        <v>2000</v>
      </c>
      <c r="L39" s="507"/>
      <c r="M39" s="524" t="s">
        <v>2000</v>
      </c>
      <c r="N39" s="507"/>
      <c r="O39" s="524" t="s">
        <v>2000</v>
      </c>
      <c r="P39" s="507"/>
      <c r="Q39" s="524" t="s">
        <v>2000</v>
      </c>
      <c r="R39" s="510"/>
      <c r="S39" s="524" t="s">
        <v>2000</v>
      </c>
      <c r="T39" s="523"/>
      <c r="U39" s="524" t="s">
        <v>2000</v>
      </c>
      <c r="V39" s="507"/>
      <c r="W39" s="524" t="s">
        <v>2000</v>
      </c>
      <c r="X39" s="507"/>
      <c r="Y39" s="524" t="s">
        <v>2000</v>
      </c>
      <c r="Z39" s="507"/>
      <c r="AA39" s="524" t="s">
        <v>2000</v>
      </c>
      <c r="AB39" s="510"/>
      <c r="AC39" s="516"/>
      <c r="AD39" s="4"/>
    </row>
    <row r="40" spans="1:30">
      <c r="A40" s="8"/>
      <c r="B40" s="8"/>
      <c r="C40" s="54"/>
      <c r="D40" s="504" t="s">
        <v>191</v>
      </c>
      <c r="E40" s="505" t="s">
        <v>2024</v>
      </c>
      <c r="F40" s="507"/>
      <c r="G40" s="505" t="s">
        <v>2024</v>
      </c>
      <c r="H40" s="507"/>
      <c r="I40" s="505" t="s">
        <v>2024</v>
      </c>
      <c r="J40" s="507"/>
      <c r="K40" s="505" t="s">
        <v>2024</v>
      </c>
      <c r="L40" s="507"/>
      <c r="M40" s="505" t="s">
        <v>2024</v>
      </c>
      <c r="N40" s="507"/>
      <c r="O40" s="505" t="s">
        <v>2024</v>
      </c>
      <c r="P40" s="507"/>
      <c r="Q40" s="505" t="s">
        <v>2024</v>
      </c>
      <c r="R40" s="510"/>
      <c r="S40" s="505" t="s">
        <v>2024</v>
      </c>
      <c r="T40" s="510"/>
      <c r="U40" s="505" t="s">
        <v>2025</v>
      </c>
      <c r="V40" s="507"/>
      <c r="W40" s="505" t="s">
        <v>2026</v>
      </c>
      <c r="X40" s="507"/>
      <c r="Y40" s="505" t="s">
        <v>2027</v>
      </c>
      <c r="Z40" s="507"/>
      <c r="AA40" s="505" t="s">
        <v>2028</v>
      </c>
      <c r="AB40" s="510"/>
      <c r="AC40" s="516"/>
      <c r="AD40" s="4"/>
    </row>
    <row r="41" spans="1:30">
      <c r="A41" s="8"/>
      <c r="B41" s="8"/>
      <c r="C41" s="54"/>
      <c r="D41" s="504" t="s">
        <v>197</v>
      </c>
      <c r="E41" s="505" t="s">
        <v>2027</v>
      </c>
      <c r="F41" s="507"/>
      <c r="G41" s="505" t="s">
        <v>2027</v>
      </c>
      <c r="H41" s="507"/>
      <c r="I41" s="505" t="s">
        <v>2027</v>
      </c>
      <c r="J41" s="507"/>
      <c r="K41" s="505" t="s">
        <v>2027</v>
      </c>
      <c r="L41" s="507"/>
      <c r="M41" s="505" t="s">
        <v>2027</v>
      </c>
      <c r="N41" s="507"/>
      <c r="O41" s="505" t="s">
        <v>2027</v>
      </c>
      <c r="P41" s="507"/>
      <c r="Q41" s="505" t="s">
        <v>2027</v>
      </c>
      <c r="R41" s="510"/>
      <c r="S41" s="505" t="s">
        <v>2027</v>
      </c>
      <c r="T41" s="510"/>
      <c r="U41" s="505" t="s">
        <v>2026</v>
      </c>
      <c r="V41" s="507"/>
      <c r="W41" s="505" t="s">
        <v>2026</v>
      </c>
      <c r="X41" s="507"/>
      <c r="Y41" s="505" t="s">
        <v>2029</v>
      </c>
      <c r="Z41" s="507"/>
      <c r="AA41" s="505" t="s">
        <v>2030</v>
      </c>
      <c r="AB41" s="510"/>
      <c r="AC41" s="516"/>
      <c r="AD41" s="4"/>
    </row>
    <row r="42" spans="1:30">
      <c r="A42" s="8"/>
      <c r="B42" s="8"/>
      <c r="C42" s="54"/>
      <c r="D42" s="504" t="s">
        <v>170</v>
      </c>
      <c r="E42" s="505" t="s">
        <v>2026</v>
      </c>
      <c r="F42" s="507"/>
      <c r="G42" s="505" t="s">
        <v>2026</v>
      </c>
      <c r="H42" s="507"/>
      <c r="I42" s="505" t="s">
        <v>2026</v>
      </c>
      <c r="J42" s="507"/>
      <c r="K42" s="505" t="s">
        <v>2026</v>
      </c>
      <c r="L42" s="507"/>
      <c r="M42" s="505" t="s">
        <v>2026</v>
      </c>
      <c r="N42" s="507"/>
      <c r="O42" s="505" t="s">
        <v>2026</v>
      </c>
      <c r="P42" s="507"/>
      <c r="Q42" s="505" t="s">
        <v>2026</v>
      </c>
      <c r="R42" s="510"/>
      <c r="S42" s="505" t="s">
        <v>2026</v>
      </c>
      <c r="T42" s="510"/>
      <c r="U42" s="505" t="s">
        <v>2031</v>
      </c>
      <c r="V42" s="507"/>
      <c r="W42" s="505" t="s">
        <v>2032</v>
      </c>
      <c r="X42" s="507"/>
      <c r="Y42" s="505" t="s">
        <v>2028</v>
      </c>
      <c r="Z42" s="507"/>
      <c r="AA42" s="505" t="s">
        <v>2033</v>
      </c>
      <c r="AB42" s="510"/>
      <c r="AC42" s="516"/>
      <c r="AD42" s="4"/>
    </row>
    <row r="43" spans="1:30">
      <c r="A43" s="8"/>
      <c r="B43" s="8"/>
      <c r="C43" s="54"/>
      <c r="D43" s="514"/>
      <c r="E43" s="515"/>
      <c r="F43" s="517"/>
      <c r="G43" s="515"/>
      <c r="H43" s="517"/>
      <c r="I43" s="515"/>
      <c r="J43" s="517"/>
      <c r="K43" s="515"/>
      <c r="L43" s="517"/>
      <c r="M43" s="515"/>
      <c r="N43" s="517"/>
      <c r="O43" s="515"/>
      <c r="P43" s="517"/>
      <c r="Q43" s="515"/>
      <c r="R43" s="516"/>
      <c r="S43" s="515"/>
      <c r="T43" s="521"/>
      <c r="U43" s="515"/>
      <c r="V43" s="517"/>
      <c r="W43" s="515"/>
      <c r="X43" s="517"/>
      <c r="Y43" s="515"/>
      <c r="Z43" s="517"/>
      <c r="AA43" s="515"/>
      <c r="AB43" s="516"/>
      <c r="AC43" s="516"/>
      <c r="AD43" s="4"/>
    </row>
    <row r="44" spans="1:30" ht="29.1">
      <c r="A44" s="8"/>
      <c r="B44" s="8"/>
      <c r="C44" s="54"/>
      <c r="D44" s="504" t="s">
        <v>2034</v>
      </c>
      <c r="E44" s="505" t="s">
        <v>2035</v>
      </c>
      <c r="F44" s="507"/>
      <c r="G44" s="505" t="s">
        <v>2035</v>
      </c>
      <c r="H44" s="507"/>
      <c r="I44" s="505" t="s">
        <v>2035</v>
      </c>
      <c r="J44" s="507"/>
      <c r="K44" s="505" t="s">
        <v>2036</v>
      </c>
      <c r="L44" s="507"/>
      <c r="M44" s="505" t="s">
        <v>2036</v>
      </c>
      <c r="N44" s="507"/>
      <c r="O44" s="505" t="s">
        <v>2036</v>
      </c>
      <c r="P44" s="507"/>
      <c r="Q44" s="505" t="s">
        <v>2037</v>
      </c>
      <c r="R44" s="510"/>
      <c r="S44" s="505" t="s">
        <v>2038</v>
      </c>
      <c r="T44" s="523"/>
      <c r="U44" s="505" t="s">
        <v>2039</v>
      </c>
      <c r="V44" s="507"/>
      <c r="W44" s="505" t="s">
        <v>2040</v>
      </c>
      <c r="X44" s="507"/>
      <c r="Y44" s="505" t="s">
        <v>2035</v>
      </c>
      <c r="Z44" s="507"/>
      <c r="AA44" s="505" t="s">
        <v>2035</v>
      </c>
      <c r="AB44" s="510"/>
      <c r="AC44" s="516"/>
      <c r="AD44" s="4"/>
    </row>
    <row r="45" spans="1:30">
      <c r="A45" s="8"/>
      <c r="B45" s="8"/>
      <c r="C45" s="54"/>
      <c r="D45" s="504" t="s">
        <v>2041</v>
      </c>
      <c r="E45" s="505" t="s">
        <v>2042</v>
      </c>
      <c r="F45" s="507">
        <v>2</v>
      </c>
      <c r="G45" s="505" t="s">
        <v>2042</v>
      </c>
      <c r="H45" s="507">
        <v>2</v>
      </c>
      <c r="I45" s="505" t="s">
        <v>2042</v>
      </c>
      <c r="J45" s="507">
        <v>2</v>
      </c>
      <c r="K45" s="505" t="s">
        <v>2042</v>
      </c>
      <c r="L45" s="507">
        <v>2</v>
      </c>
      <c r="M45" s="505" t="s">
        <v>2042</v>
      </c>
      <c r="N45" s="507">
        <v>2</v>
      </c>
      <c r="O45" s="505" t="s">
        <v>2042</v>
      </c>
      <c r="P45" s="507">
        <v>2</v>
      </c>
      <c r="Q45" s="505" t="s">
        <v>2042</v>
      </c>
      <c r="R45" s="510">
        <v>2</v>
      </c>
      <c r="S45" s="505" t="s">
        <v>2042</v>
      </c>
      <c r="T45" s="510">
        <v>2</v>
      </c>
      <c r="U45" s="505" t="s">
        <v>2042</v>
      </c>
      <c r="V45" s="507">
        <v>2</v>
      </c>
      <c r="W45" s="505" t="s">
        <v>2042</v>
      </c>
      <c r="X45" s="507">
        <v>2</v>
      </c>
      <c r="Y45" s="505" t="s">
        <v>2042</v>
      </c>
      <c r="Z45" s="507">
        <v>2</v>
      </c>
      <c r="AA45" s="505" t="s">
        <v>2042</v>
      </c>
      <c r="AB45" s="510">
        <v>2</v>
      </c>
      <c r="AC45" s="516"/>
      <c r="AD45" s="4"/>
    </row>
    <row r="46" spans="1:30">
      <c r="A46" s="8"/>
      <c r="B46" s="8"/>
      <c r="C46" s="54"/>
      <c r="D46" s="504" t="s">
        <v>2043</v>
      </c>
      <c r="E46" s="505" t="s">
        <v>1577</v>
      </c>
      <c r="F46" s="507"/>
      <c r="G46" s="505" t="s">
        <v>1577</v>
      </c>
      <c r="H46" s="507"/>
      <c r="I46" s="505" t="s">
        <v>1577</v>
      </c>
      <c r="J46" s="507"/>
      <c r="K46" s="505" t="s">
        <v>1577</v>
      </c>
      <c r="L46" s="507"/>
      <c r="M46" s="505" t="s">
        <v>1577</v>
      </c>
      <c r="N46" s="507"/>
      <c r="O46" s="505" t="s">
        <v>1577</v>
      </c>
      <c r="P46" s="507"/>
      <c r="Q46" s="505" t="s">
        <v>1577</v>
      </c>
      <c r="R46" s="510"/>
      <c r="S46" s="505" t="s">
        <v>1577</v>
      </c>
      <c r="T46" s="523"/>
      <c r="U46" s="505" t="s">
        <v>1577</v>
      </c>
      <c r="V46" s="507"/>
      <c r="W46" s="505" t="s">
        <v>1577</v>
      </c>
      <c r="X46" s="507"/>
      <c r="Y46" s="505" t="s">
        <v>1577</v>
      </c>
      <c r="Z46" s="507"/>
      <c r="AA46" s="505" t="s">
        <v>1577</v>
      </c>
      <c r="AB46" s="510"/>
      <c r="AC46" s="516"/>
      <c r="AD46" s="4"/>
    </row>
    <row r="47" spans="1:30">
      <c r="A47" s="8"/>
      <c r="B47" s="8"/>
      <c r="C47" s="54"/>
      <c r="D47" s="504" t="s">
        <v>2044</v>
      </c>
      <c r="E47" s="505" t="s">
        <v>2045</v>
      </c>
      <c r="F47" s="507"/>
      <c r="G47" s="505" t="s">
        <v>2045</v>
      </c>
      <c r="H47" s="507"/>
      <c r="I47" s="505" t="s">
        <v>2045</v>
      </c>
      <c r="J47" s="507"/>
      <c r="K47" s="505" t="s">
        <v>2045</v>
      </c>
      <c r="L47" s="507"/>
      <c r="M47" s="505" t="s">
        <v>343</v>
      </c>
      <c r="N47" s="507"/>
      <c r="O47" s="505" t="s">
        <v>343</v>
      </c>
      <c r="P47" s="507"/>
      <c r="Q47" s="505" t="s">
        <v>343</v>
      </c>
      <c r="R47" s="510"/>
      <c r="S47" s="505" t="s">
        <v>123</v>
      </c>
      <c r="T47" s="523"/>
      <c r="U47" s="505" t="s">
        <v>2046</v>
      </c>
      <c r="V47" s="507"/>
      <c r="W47" s="505" t="s">
        <v>2047</v>
      </c>
      <c r="X47" s="507"/>
      <c r="Y47" s="505" t="s">
        <v>2045</v>
      </c>
      <c r="Z47" s="507"/>
      <c r="AA47" s="505" t="s">
        <v>2045</v>
      </c>
      <c r="AB47" s="510"/>
      <c r="AC47" s="516"/>
      <c r="AD47" s="4"/>
    </row>
    <row r="48" spans="1:30">
      <c r="A48" s="8"/>
      <c r="B48" s="8"/>
      <c r="C48" s="54"/>
      <c r="D48" s="504" t="s">
        <v>2048</v>
      </c>
      <c r="E48" s="505" t="s">
        <v>2049</v>
      </c>
      <c r="F48" s="507">
        <v>2</v>
      </c>
      <c r="G48" s="505" t="s">
        <v>2049</v>
      </c>
      <c r="H48" s="507">
        <v>2</v>
      </c>
      <c r="I48" s="505" t="s">
        <v>2049</v>
      </c>
      <c r="J48" s="507">
        <v>2</v>
      </c>
      <c r="K48" s="505" t="s">
        <v>2049</v>
      </c>
      <c r="L48" s="507">
        <v>2</v>
      </c>
      <c r="M48" s="505" t="s">
        <v>2049</v>
      </c>
      <c r="N48" s="507">
        <v>2</v>
      </c>
      <c r="O48" s="505" t="s">
        <v>2049</v>
      </c>
      <c r="P48" s="507">
        <v>2</v>
      </c>
      <c r="Q48" s="505" t="s">
        <v>2049</v>
      </c>
      <c r="R48" s="510">
        <v>2</v>
      </c>
      <c r="S48" s="505" t="s">
        <v>2049</v>
      </c>
      <c r="T48" s="510">
        <v>2</v>
      </c>
      <c r="U48" s="505" t="s">
        <v>2049</v>
      </c>
      <c r="V48" s="507">
        <v>2</v>
      </c>
      <c r="W48" s="505" t="s">
        <v>2049</v>
      </c>
      <c r="X48" s="507">
        <v>2</v>
      </c>
      <c r="Y48" s="505" t="s">
        <v>2049</v>
      </c>
      <c r="Z48" s="507">
        <v>2</v>
      </c>
      <c r="AA48" s="505" t="s">
        <v>2049</v>
      </c>
      <c r="AB48" s="510">
        <v>2</v>
      </c>
      <c r="AC48" s="516"/>
      <c r="AD48" s="4"/>
    </row>
    <row r="49" spans="1:30">
      <c r="A49" s="8"/>
      <c r="B49" s="8"/>
      <c r="C49" s="54"/>
      <c r="D49" s="504" t="s">
        <v>2050</v>
      </c>
      <c r="E49" s="505" t="s">
        <v>2051</v>
      </c>
      <c r="F49" s="507"/>
      <c r="G49" s="505" t="s">
        <v>2051</v>
      </c>
      <c r="H49" s="507"/>
      <c r="I49" s="505" t="s">
        <v>2051</v>
      </c>
      <c r="J49" s="507"/>
      <c r="K49" s="505" t="s">
        <v>2051</v>
      </c>
      <c r="L49" s="507"/>
      <c r="M49" s="505" t="s">
        <v>2051</v>
      </c>
      <c r="N49" s="507"/>
      <c r="O49" s="505" t="s">
        <v>2051</v>
      </c>
      <c r="P49" s="507"/>
      <c r="Q49" s="505" t="s">
        <v>2051</v>
      </c>
      <c r="R49" s="510"/>
      <c r="S49" s="505" t="s">
        <v>2051</v>
      </c>
      <c r="T49" s="523"/>
      <c r="U49" s="505" t="s">
        <v>2051</v>
      </c>
      <c r="V49" s="507"/>
      <c r="W49" s="505" t="s">
        <v>2051</v>
      </c>
      <c r="X49" s="507"/>
      <c r="Y49" s="505" t="s">
        <v>2051</v>
      </c>
      <c r="Z49" s="507"/>
      <c r="AA49" s="505" t="s">
        <v>2051</v>
      </c>
      <c r="AB49" s="510"/>
      <c r="AC49" s="516"/>
      <c r="AD49" s="4"/>
    </row>
    <row r="50" spans="1:30">
      <c r="A50" s="8"/>
      <c r="B50" s="8"/>
      <c r="C50" s="54"/>
      <c r="D50" s="504" t="s">
        <v>2052</v>
      </c>
      <c r="E50" s="505" t="s">
        <v>2053</v>
      </c>
      <c r="F50" s="507">
        <v>1</v>
      </c>
      <c r="G50" s="505" t="s">
        <v>2053</v>
      </c>
      <c r="H50" s="507">
        <v>1</v>
      </c>
      <c r="I50" s="505" t="s">
        <v>2053</v>
      </c>
      <c r="J50" s="507">
        <v>1</v>
      </c>
      <c r="K50" s="505" t="s">
        <v>2053</v>
      </c>
      <c r="L50" s="507">
        <v>1</v>
      </c>
      <c r="M50" s="505" t="s">
        <v>2053</v>
      </c>
      <c r="N50" s="507">
        <v>1</v>
      </c>
      <c r="O50" s="505" t="s">
        <v>2053</v>
      </c>
      <c r="P50" s="507">
        <v>1</v>
      </c>
      <c r="Q50" s="505" t="s">
        <v>2053</v>
      </c>
      <c r="R50" s="510">
        <v>1</v>
      </c>
      <c r="S50" s="505" t="s">
        <v>2053</v>
      </c>
      <c r="T50" s="510">
        <v>1</v>
      </c>
      <c r="U50" s="505" t="s">
        <v>2053</v>
      </c>
      <c r="V50" s="507">
        <v>1</v>
      </c>
      <c r="W50" s="505" t="s">
        <v>2053</v>
      </c>
      <c r="X50" s="507">
        <v>1</v>
      </c>
      <c r="Y50" s="505" t="s">
        <v>2053</v>
      </c>
      <c r="Z50" s="507">
        <v>1</v>
      </c>
      <c r="AA50" s="505" t="s">
        <v>2053</v>
      </c>
      <c r="AB50" s="510">
        <v>1</v>
      </c>
      <c r="AC50" s="516"/>
      <c r="AD50" s="4"/>
    </row>
    <row r="51" spans="1:30">
      <c r="A51" s="8"/>
      <c r="B51" s="8"/>
      <c r="C51" s="54"/>
      <c r="D51" s="525" t="s">
        <v>143</v>
      </c>
      <c r="E51" s="505" t="s">
        <v>2054</v>
      </c>
      <c r="F51" s="507">
        <v>2</v>
      </c>
      <c r="G51" s="505" t="s">
        <v>2054</v>
      </c>
      <c r="H51" s="507">
        <v>2</v>
      </c>
      <c r="I51" s="505" t="s">
        <v>2054</v>
      </c>
      <c r="J51" s="507">
        <v>2</v>
      </c>
      <c r="K51" s="505" t="s">
        <v>2054</v>
      </c>
      <c r="L51" s="507">
        <v>2</v>
      </c>
      <c r="M51" s="505" t="s">
        <v>2054</v>
      </c>
      <c r="N51" s="507">
        <v>2</v>
      </c>
      <c r="O51" s="505" t="s">
        <v>2054</v>
      </c>
      <c r="P51" s="507">
        <v>2</v>
      </c>
      <c r="Q51" s="505" t="s">
        <v>2054</v>
      </c>
      <c r="R51" s="510">
        <v>2</v>
      </c>
      <c r="S51" s="505" t="s">
        <v>2054</v>
      </c>
      <c r="T51" s="510">
        <v>2</v>
      </c>
      <c r="U51" s="505" t="s">
        <v>2054</v>
      </c>
      <c r="V51" s="507">
        <v>2</v>
      </c>
      <c r="W51" s="505" t="s">
        <v>2054</v>
      </c>
      <c r="X51" s="507">
        <v>2</v>
      </c>
      <c r="Y51" s="505" t="s">
        <v>2054</v>
      </c>
      <c r="Z51" s="507">
        <v>2</v>
      </c>
      <c r="AA51" s="505" t="s">
        <v>428</v>
      </c>
      <c r="AB51" s="510">
        <v>2</v>
      </c>
      <c r="AC51" s="516"/>
      <c r="AD51" s="4"/>
    </row>
    <row r="52" spans="1:30">
      <c r="A52" s="8"/>
      <c r="B52" s="8"/>
      <c r="C52" s="54"/>
      <c r="D52" s="526" t="s">
        <v>2055</v>
      </c>
      <c r="E52" s="505" t="s">
        <v>2056</v>
      </c>
      <c r="F52" s="507"/>
      <c r="G52" s="505" t="s">
        <v>2056</v>
      </c>
      <c r="H52" s="507"/>
      <c r="I52" s="505" t="s">
        <v>2056</v>
      </c>
      <c r="J52" s="507"/>
      <c r="K52" s="505" t="s">
        <v>2056</v>
      </c>
      <c r="L52" s="507"/>
      <c r="M52" s="505" t="s">
        <v>2056</v>
      </c>
      <c r="N52" s="507"/>
      <c r="O52" s="505" t="s">
        <v>2056</v>
      </c>
      <c r="P52" s="507"/>
      <c r="Q52" s="515" t="s">
        <v>2056</v>
      </c>
      <c r="R52" s="516"/>
      <c r="S52" s="505" t="s">
        <v>2056</v>
      </c>
      <c r="T52" s="510"/>
      <c r="U52" s="505" t="s">
        <v>2056</v>
      </c>
      <c r="V52" s="507"/>
      <c r="W52" s="505" t="s">
        <v>2056</v>
      </c>
      <c r="X52" s="507"/>
      <c r="Y52" s="505" t="s">
        <v>2056</v>
      </c>
      <c r="Z52" s="507"/>
      <c r="AA52" s="505" t="s">
        <v>2056</v>
      </c>
      <c r="AB52" s="510"/>
      <c r="AC52" s="516"/>
      <c r="AD52" s="4"/>
    </row>
    <row r="53" spans="1:30">
      <c r="A53" s="8"/>
      <c r="B53" s="8"/>
      <c r="C53" s="54"/>
      <c r="D53" s="514"/>
      <c r="E53" s="586"/>
      <c r="F53" s="517"/>
      <c r="G53" s="515"/>
      <c r="H53" s="517"/>
      <c r="I53" s="515"/>
      <c r="J53" s="517"/>
      <c r="K53" s="515"/>
      <c r="L53" s="517"/>
      <c r="M53" s="515"/>
      <c r="N53" s="517"/>
      <c r="O53" s="515"/>
      <c r="P53" s="517"/>
      <c r="Q53" s="517"/>
      <c r="R53" s="516"/>
      <c r="S53" s="514"/>
      <c r="T53" s="521"/>
      <c r="U53" s="514"/>
      <c r="V53" s="516"/>
      <c r="W53" s="514"/>
      <c r="X53" s="516"/>
      <c r="Y53" s="514"/>
      <c r="Z53" s="516"/>
      <c r="AA53" s="514"/>
      <c r="AB53" s="516"/>
      <c r="AC53" s="516"/>
      <c r="AD53" s="4"/>
    </row>
    <row r="54" spans="1:30">
      <c r="A54" s="8"/>
      <c r="B54" s="8"/>
      <c r="C54" s="54"/>
      <c r="D54" s="504" t="s">
        <v>2057</v>
      </c>
      <c r="E54" s="505"/>
      <c r="F54" s="507">
        <v>1</v>
      </c>
      <c r="G54" s="505"/>
      <c r="H54" s="507">
        <v>1</v>
      </c>
      <c r="I54" s="505"/>
      <c r="J54" s="507">
        <v>1</v>
      </c>
      <c r="K54" s="505"/>
      <c r="L54" s="507">
        <v>1</v>
      </c>
      <c r="M54" s="505"/>
      <c r="N54" s="507">
        <v>1</v>
      </c>
      <c r="O54" s="505"/>
      <c r="P54" s="507">
        <v>1</v>
      </c>
      <c r="Q54" s="505"/>
      <c r="R54" s="510">
        <v>1</v>
      </c>
      <c r="S54" s="522"/>
      <c r="T54" s="510">
        <v>1</v>
      </c>
      <c r="U54" s="505"/>
      <c r="V54" s="507">
        <v>1</v>
      </c>
      <c r="W54" s="505"/>
      <c r="X54" s="507">
        <v>1</v>
      </c>
      <c r="Y54" s="505"/>
      <c r="Z54" s="510">
        <v>1</v>
      </c>
      <c r="AA54" s="522"/>
      <c r="AB54" s="510">
        <v>1</v>
      </c>
      <c r="AC54" s="516"/>
      <c r="AD54" s="4"/>
    </row>
    <row r="55" spans="1:30">
      <c r="A55" s="8"/>
      <c r="B55" s="8"/>
      <c r="C55" s="54"/>
      <c r="D55" s="504" t="s">
        <v>2058</v>
      </c>
      <c r="E55" s="505" t="s">
        <v>2059</v>
      </c>
      <c r="F55" s="507">
        <v>4</v>
      </c>
      <c r="G55" s="524" t="s">
        <v>2000</v>
      </c>
      <c r="H55" s="507">
        <v>4</v>
      </c>
      <c r="I55" s="524" t="s">
        <v>2000</v>
      </c>
      <c r="J55" s="507">
        <v>4</v>
      </c>
      <c r="K55" s="524" t="s">
        <v>2000</v>
      </c>
      <c r="L55" s="507">
        <v>4</v>
      </c>
      <c r="M55" s="524" t="s">
        <v>2000</v>
      </c>
      <c r="N55" s="507">
        <v>4</v>
      </c>
      <c r="O55" s="524" t="s">
        <v>2000</v>
      </c>
      <c r="P55" s="507">
        <v>4</v>
      </c>
      <c r="Q55" s="524" t="s">
        <v>2000</v>
      </c>
      <c r="R55" s="510">
        <v>1</v>
      </c>
      <c r="S55" s="524" t="s">
        <v>2000</v>
      </c>
      <c r="T55" s="507">
        <v>1</v>
      </c>
      <c r="U55" s="524" t="s">
        <v>2000</v>
      </c>
      <c r="V55" s="507">
        <v>1</v>
      </c>
      <c r="W55" s="524" t="s">
        <v>2000</v>
      </c>
      <c r="X55" s="507">
        <v>1</v>
      </c>
      <c r="Y55" s="524" t="s">
        <v>2000</v>
      </c>
      <c r="Z55" s="507">
        <v>1</v>
      </c>
      <c r="AA55" s="524" t="s">
        <v>2000</v>
      </c>
      <c r="AB55" s="507">
        <v>1</v>
      </c>
      <c r="AC55" s="517"/>
      <c r="AD55" s="4"/>
    </row>
    <row r="56" spans="1:30">
      <c r="A56" s="8"/>
      <c r="B56" s="8"/>
      <c r="C56" s="54"/>
      <c r="D56" s="504" t="s">
        <v>2060</v>
      </c>
      <c r="E56" s="524" t="s">
        <v>2061</v>
      </c>
      <c r="F56" s="507">
        <v>3</v>
      </c>
      <c r="G56" s="524" t="s">
        <v>2000</v>
      </c>
      <c r="H56" s="507">
        <v>1</v>
      </c>
      <c r="I56" s="524" t="s">
        <v>2000</v>
      </c>
      <c r="J56" s="507">
        <v>1</v>
      </c>
      <c r="K56" s="524" t="s">
        <v>2000</v>
      </c>
      <c r="L56" s="507">
        <v>1</v>
      </c>
      <c r="M56" s="524" t="s">
        <v>2000</v>
      </c>
      <c r="N56" s="507">
        <v>1</v>
      </c>
      <c r="O56" s="524" t="s">
        <v>2000</v>
      </c>
      <c r="P56" s="507">
        <v>1</v>
      </c>
      <c r="Q56" s="524" t="s">
        <v>2000</v>
      </c>
      <c r="R56" s="510">
        <v>1</v>
      </c>
      <c r="S56" s="524" t="s">
        <v>2000</v>
      </c>
      <c r="T56" s="509">
        <v>1</v>
      </c>
      <c r="U56" s="524" t="s">
        <v>2000</v>
      </c>
      <c r="V56" s="507">
        <v>1</v>
      </c>
      <c r="W56" s="524" t="s">
        <v>2000</v>
      </c>
      <c r="X56" s="507">
        <v>1</v>
      </c>
      <c r="Y56" s="524" t="s">
        <v>2000</v>
      </c>
      <c r="Z56" s="507">
        <v>1</v>
      </c>
      <c r="AA56" s="524" t="s">
        <v>2000</v>
      </c>
      <c r="AB56" s="507">
        <v>1</v>
      </c>
      <c r="AC56" s="517"/>
      <c r="AD56" s="4"/>
    </row>
    <row r="57" spans="1:30">
      <c r="A57" s="8"/>
      <c r="B57" s="8"/>
      <c r="C57" s="54"/>
      <c r="D57" s="504" t="s">
        <v>188</v>
      </c>
      <c r="E57" s="505" t="s">
        <v>2024</v>
      </c>
      <c r="F57" s="507">
        <v>4</v>
      </c>
      <c r="G57" s="524" t="s">
        <v>2000</v>
      </c>
      <c r="H57" s="507">
        <v>4</v>
      </c>
      <c r="I57" s="524" t="s">
        <v>2000</v>
      </c>
      <c r="J57" s="507">
        <v>4</v>
      </c>
      <c r="K57" s="524" t="s">
        <v>2000</v>
      </c>
      <c r="L57" s="507">
        <v>4</v>
      </c>
      <c r="M57" s="524" t="s">
        <v>2000</v>
      </c>
      <c r="N57" s="507">
        <v>4</v>
      </c>
      <c r="O57" s="524" t="s">
        <v>2000</v>
      </c>
      <c r="P57" s="507">
        <v>4</v>
      </c>
      <c r="Q57" s="524" t="s">
        <v>2000</v>
      </c>
      <c r="R57" s="510">
        <v>4</v>
      </c>
      <c r="S57" s="524" t="s">
        <v>2000</v>
      </c>
      <c r="T57" s="507">
        <v>4</v>
      </c>
      <c r="U57" s="524" t="s">
        <v>2000</v>
      </c>
      <c r="V57" s="507">
        <v>4</v>
      </c>
      <c r="W57" s="524" t="s">
        <v>2000</v>
      </c>
      <c r="X57" s="507">
        <v>4</v>
      </c>
      <c r="Y57" s="524" t="s">
        <v>2000</v>
      </c>
      <c r="Z57" s="507">
        <v>4</v>
      </c>
      <c r="AA57" s="524" t="s">
        <v>2000</v>
      </c>
      <c r="AB57" s="507">
        <v>4</v>
      </c>
      <c r="AC57" s="517"/>
      <c r="AD57" s="4"/>
    </row>
    <row r="58" spans="1:30">
      <c r="A58" s="8"/>
      <c r="B58" s="8"/>
      <c r="C58" s="54"/>
      <c r="D58" s="504" t="s">
        <v>194</v>
      </c>
      <c r="E58" s="505" t="s">
        <v>2062</v>
      </c>
      <c r="F58" s="507">
        <v>1</v>
      </c>
      <c r="G58" s="524" t="s">
        <v>2000</v>
      </c>
      <c r="H58" s="507">
        <v>1</v>
      </c>
      <c r="I58" s="524" t="s">
        <v>2000</v>
      </c>
      <c r="J58" s="507">
        <v>1</v>
      </c>
      <c r="K58" s="524" t="s">
        <v>2000</v>
      </c>
      <c r="L58" s="507">
        <v>1</v>
      </c>
      <c r="M58" s="524" t="s">
        <v>2000</v>
      </c>
      <c r="N58" s="507">
        <v>1</v>
      </c>
      <c r="O58" s="524" t="s">
        <v>2000</v>
      </c>
      <c r="P58" s="507">
        <v>1</v>
      </c>
      <c r="Q58" s="524" t="s">
        <v>2000</v>
      </c>
      <c r="R58" s="510">
        <v>1</v>
      </c>
      <c r="S58" s="524" t="s">
        <v>2000</v>
      </c>
      <c r="T58" s="507">
        <v>1</v>
      </c>
      <c r="U58" s="524" t="s">
        <v>2000</v>
      </c>
      <c r="V58" s="507">
        <v>1</v>
      </c>
      <c r="W58" s="524" t="s">
        <v>2000</v>
      </c>
      <c r="X58" s="507">
        <v>1</v>
      </c>
      <c r="Y58" s="524" t="s">
        <v>2000</v>
      </c>
      <c r="Z58" s="507">
        <v>1</v>
      </c>
      <c r="AA58" s="524" t="s">
        <v>2000</v>
      </c>
      <c r="AB58" s="507">
        <v>1</v>
      </c>
      <c r="AC58" s="517"/>
      <c r="AD58" s="4"/>
    </row>
    <row r="59" spans="1:30">
      <c r="A59" s="8"/>
      <c r="B59" s="8"/>
      <c r="C59" s="54"/>
      <c r="D59" s="504" t="s">
        <v>2063</v>
      </c>
      <c r="E59" s="505" t="s">
        <v>2064</v>
      </c>
      <c r="F59" s="507"/>
      <c r="G59" s="505" t="s">
        <v>2064</v>
      </c>
      <c r="H59" s="507"/>
      <c r="I59" s="505" t="s">
        <v>2064</v>
      </c>
      <c r="J59" s="507"/>
      <c r="K59" s="505" t="s">
        <v>1660</v>
      </c>
      <c r="L59" s="507"/>
      <c r="M59" s="505" t="s">
        <v>1660</v>
      </c>
      <c r="N59" s="507"/>
      <c r="O59" s="505" t="s">
        <v>1660</v>
      </c>
      <c r="P59" s="507"/>
      <c r="Q59" s="505" t="s">
        <v>1660</v>
      </c>
      <c r="R59" s="510"/>
      <c r="S59" s="505" t="s">
        <v>1660</v>
      </c>
      <c r="T59" s="507"/>
      <c r="U59" s="505" t="s">
        <v>1562</v>
      </c>
      <c r="V59" s="507"/>
      <c r="W59" s="505" t="s">
        <v>1562</v>
      </c>
      <c r="X59" s="507"/>
      <c r="Y59" s="505" t="s">
        <v>1570</v>
      </c>
      <c r="Z59" s="507"/>
      <c r="AA59" s="505" t="s">
        <v>1570</v>
      </c>
      <c r="AB59" s="507"/>
      <c r="AC59" s="517"/>
      <c r="AD59" s="4"/>
    </row>
    <row r="60" spans="1:30">
      <c r="A60" s="8"/>
      <c r="B60" s="8"/>
      <c r="C60" s="54"/>
      <c r="D60" s="504" t="s">
        <v>2065</v>
      </c>
      <c r="E60" s="505" t="s">
        <v>1660</v>
      </c>
      <c r="F60" s="507"/>
      <c r="G60" s="505" t="s">
        <v>1660</v>
      </c>
      <c r="H60" s="507"/>
      <c r="I60" s="505" t="s">
        <v>1660</v>
      </c>
      <c r="J60" s="507"/>
      <c r="K60" s="505" t="s">
        <v>1562</v>
      </c>
      <c r="L60" s="507"/>
      <c r="M60" s="505" t="s">
        <v>1562</v>
      </c>
      <c r="N60" s="507"/>
      <c r="O60" s="505" t="s">
        <v>1562</v>
      </c>
      <c r="P60" s="507"/>
      <c r="Q60" s="505" t="s">
        <v>1562</v>
      </c>
      <c r="R60" s="510"/>
      <c r="S60" s="505" t="s">
        <v>1562</v>
      </c>
      <c r="T60" s="507"/>
      <c r="U60" s="505" t="s">
        <v>1570</v>
      </c>
      <c r="V60" s="507"/>
      <c r="W60" s="505" t="s">
        <v>1570</v>
      </c>
      <c r="X60" s="507"/>
      <c r="Y60" s="505" t="s">
        <v>1570</v>
      </c>
      <c r="Z60" s="507"/>
      <c r="AA60" s="505" t="s">
        <v>1570</v>
      </c>
      <c r="AB60" s="507"/>
      <c r="AC60" s="517"/>
      <c r="AD60" s="4"/>
    </row>
    <row r="61" spans="1:30">
      <c r="A61" s="8"/>
      <c r="B61" s="8"/>
      <c r="C61" s="54"/>
      <c r="D61" s="504" t="s">
        <v>2066</v>
      </c>
      <c r="E61" s="505"/>
      <c r="F61" s="507"/>
      <c r="G61" s="505"/>
      <c r="H61" s="507"/>
      <c r="I61" s="505"/>
      <c r="J61" s="507"/>
      <c r="K61" s="505"/>
      <c r="L61" s="507"/>
      <c r="M61" s="505"/>
      <c r="N61" s="507"/>
      <c r="O61" s="505"/>
      <c r="P61" s="507"/>
      <c r="Q61" s="505"/>
      <c r="R61" s="510"/>
      <c r="S61" s="505"/>
      <c r="T61" s="509"/>
      <c r="U61" s="505"/>
      <c r="V61" s="507"/>
      <c r="W61" s="505"/>
      <c r="X61" s="507"/>
      <c r="Y61" s="505"/>
      <c r="Z61" s="507"/>
      <c r="AA61" s="505"/>
      <c r="AB61" s="507"/>
      <c r="AC61" s="517"/>
      <c r="AD61" s="4"/>
    </row>
    <row r="62" spans="1:30">
      <c r="A62" s="8"/>
      <c r="B62" s="8"/>
      <c r="C62" s="54"/>
      <c r="D62" s="504" t="s">
        <v>2067</v>
      </c>
      <c r="E62" s="505"/>
      <c r="F62" s="507"/>
      <c r="G62" s="505"/>
      <c r="H62" s="507"/>
      <c r="I62" s="505"/>
      <c r="J62" s="507"/>
      <c r="K62" s="505"/>
      <c r="L62" s="507"/>
      <c r="M62" s="505"/>
      <c r="N62" s="507"/>
      <c r="O62" s="505"/>
      <c r="P62" s="507"/>
      <c r="Q62" s="505"/>
      <c r="R62" s="510"/>
      <c r="S62" s="505"/>
      <c r="T62" s="509"/>
      <c r="U62" s="505"/>
      <c r="V62" s="507"/>
      <c r="W62" s="505"/>
      <c r="X62" s="507"/>
      <c r="Y62" s="505"/>
      <c r="Z62" s="507"/>
      <c r="AA62" s="505"/>
      <c r="AB62" s="507"/>
      <c r="AC62" s="517"/>
      <c r="AD62" s="4"/>
    </row>
    <row r="63" spans="1:30">
      <c r="A63" s="8"/>
      <c r="B63" s="8"/>
      <c r="C63" s="54"/>
      <c r="D63" s="504" t="s">
        <v>2068</v>
      </c>
      <c r="E63" s="519">
        <v>43834</v>
      </c>
      <c r="F63" s="507"/>
      <c r="G63" s="524" t="s">
        <v>2000</v>
      </c>
      <c r="H63" s="507"/>
      <c r="I63" s="524" t="s">
        <v>2000</v>
      </c>
      <c r="J63" s="507"/>
      <c r="K63" s="524" t="s">
        <v>2000</v>
      </c>
      <c r="L63" s="507"/>
      <c r="M63" s="524" t="s">
        <v>2000</v>
      </c>
      <c r="N63" s="507"/>
      <c r="O63" s="524" t="s">
        <v>2000</v>
      </c>
      <c r="P63" s="507"/>
      <c r="Q63" s="524" t="s">
        <v>2000</v>
      </c>
      <c r="R63" s="510"/>
      <c r="S63" s="524" t="s">
        <v>2000</v>
      </c>
      <c r="T63" s="507"/>
      <c r="U63" s="524" t="s">
        <v>2000</v>
      </c>
      <c r="V63" s="507"/>
      <c r="W63" s="524" t="s">
        <v>2000</v>
      </c>
      <c r="X63" s="507"/>
      <c r="Y63" s="524" t="s">
        <v>2000</v>
      </c>
      <c r="Z63" s="507"/>
      <c r="AA63" s="524" t="s">
        <v>2000</v>
      </c>
      <c r="AB63" s="507"/>
      <c r="AC63" s="517"/>
      <c r="AD63" s="4"/>
    </row>
    <row r="64" spans="1:30">
      <c r="A64" s="8"/>
      <c r="B64" s="8"/>
      <c r="C64" s="54"/>
      <c r="D64" s="504" t="s">
        <v>2069</v>
      </c>
      <c r="E64" s="519">
        <v>43841</v>
      </c>
      <c r="F64" s="507"/>
      <c r="G64" s="524" t="s">
        <v>2000</v>
      </c>
      <c r="H64" s="507"/>
      <c r="I64" s="524" t="s">
        <v>2000</v>
      </c>
      <c r="J64" s="507"/>
      <c r="K64" s="524" t="s">
        <v>2000</v>
      </c>
      <c r="L64" s="507"/>
      <c r="M64" s="524" t="s">
        <v>2000</v>
      </c>
      <c r="N64" s="507"/>
      <c r="O64" s="524" t="s">
        <v>2000</v>
      </c>
      <c r="P64" s="507"/>
      <c r="Q64" s="524" t="s">
        <v>2000</v>
      </c>
      <c r="R64" s="510"/>
      <c r="S64" s="524" t="s">
        <v>2000</v>
      </c>
      <c r="T64" s="507"/>
      <c r="U64" s="524" t="s">
        <v>2000</v>
      </c>
      <c r="V64" s="507"/>
      <c r="W64" s="524" t="s">
        <v>2000</v>
      </c>
      <c r="X64" s="507"/>
      <c r="Y64" s="524" t="s">
        <v>2000</v>
      </c>
      <c r="Z64" s="507"/>
      <c r="AA64" s="524" t="s">
        <v>2000</v>
      </c>
      <c r="AB64" s="507"/>
      <c r="AC64" s="517"/>
      <c r="AD64" s="4"/>
    </row>
    <row r="65" spans="1:30">
      <c r="A65" s="8"/>
      <c r="B65" s="8"/>
      <c r="C65" s="54"/>
      <c r="D65" s="504" t="s">
        <v>2070</v>
      </c>
      <c r="E65" s="519">
        <v>45297</v>
      </c>
      <c r="F65" s="507"/>
      <c r="G65" s="524" t="s">
        <v>2000</v>
      </c>
      <c r="H65" s="507"/>
      <c r="I65" s="524" t="s">
        <v>2000</v>
      </c>
      <c r="J65" s="507"/>
      <c r="K65" s="524" t="s">
        <v>2000</v>
      </c>
      <c r="L65" s="507"/>
      <c r="M65" s="524" t="s">
        <v>2000</v>
      </c>
      <c r="N65" s="507"/>
      <c r="O65" s="524" t="s">
        <v>2000</v>
      </c>
      <c r="P65" s="507"/>
      <c r="Q65" s="524" t="s">
        <v>2000</v>
      </c>
      <c r="R65" s="510"/>
      <c r="S65" s="524" t="s">
        <v>2000</v>
      </c>
      <c r="T65" s="507"/>
      <c r="U65" s="524" t="s">
        <v>2000</v>
      </c>
      <c r="V65" s="507"/>
      <c r="W65" s="524" t="s">
        <v>2000</v>
      </c>
      <c r="X65" s="507"/>
      <c r="Y65" s="524" t="s">
        <v>2000</v>
      </c>
      <c r="Z65" s="507"/>
      <c r="AA65" s="524" t="s">
        <v>2000</v>
      </c>
      <c r="AB65" s="507"/>
      <c r="AC65" s="517"/>
      <c r="AD65" s="4"/>
    </row>
    <row r="66" spans="1:30">
      <c r="A66" s="8"/>
      <c r="B66" s="8"/>
      <c r="C66" s="54"/>
      <c r="D66" s="504" t="s">
        <v>2071</v>
      </c>
      <c r="E66" s="519">
        <v>45304</v>
      </c>
      <c r="F66" s="507"/>
      <c r="G66" s="524" t="s">
        <v>2000</v>
      </c>
      <c r="H66" s="507"/>
      <c r="I66" s="524" t="s">
        <v>2000</v>
      </c>
      <c r="J66" s="507"/>
      <c r="K66" s="524" t="s">
        <v>2000</v>
      </c>
      <c r="L66" s="507"/>
      <c r="M66" s="524" t="s">
        <v>2000</v>
      </c>
      <c r="N66" s="507"/>
      <c r="O66" s="524" t="s">
        <v>2000</v>
      </c>
      <c r="P66" s="507"/>
      <c r="Q66" s="524" t="s">
        <v>2000</v>
      </c>
      <c r="R66" s="510"/>
      <c r="S66" s="524" t="s">
        <v>2000</v>
      </c>
      <c r="T66" s="507"/>
      <c r="U66" s="524" t="s">
        <v>2000</v>
      </c>
      <c r="V66" s="507"/>
      <c r="W66" s="524" t="s">
        <v>2000</v>
      </c>
      <c r="X66" s="507"/>
      <c r="Y66" s="524" t="s">
        <v>2000</v>
      </c>
      <c r="Z66" s="507"/>
      <c r="AA66" s="524" t="s">
        <v>2000</v>
      </c>
      <c r="AB66" s="507"/>
      <c r="AC66" s="517"/>
      <c r="AD66" s="4"/>
    </row>
    <row r="67" spans="1:30" ht="29.1">
      <c r="A67" s="8"/>
      <c r="B67" s="8"/>
      <c r="C67" s="54"/>
      <c r="D67" s="504" t="s">
        <v>2072</v>
      </c>
      <c r="E67" s="524" t="s">
        <v>2000</v>
      </c>
      <c r="F67" s="507">
        <v>2</v>
      </c>
      <c r="G67" s="524" t="s">
        <v>2000</v>
      </c>
      <c r="H67" s="507">
        <v>2</v>
      </c>
      <c r="I67" s="524" t="s">
        <v>2000</v>
      </c>
      <c r="J67" s="507">
        <v>2</v>
      </c>
      <c r="K67" s="524" t="s">
        <v>2000</v>
      </c>
      <c r="L67" s="507">
        <v>2</v>
      </c>
      <c r="M67" s="524" t="s">
        <v>2000</v>
      </c>
      <c r="N67" s="507">
        <v>2</v>
      </c>
      <c r="O67" s="524" t="s">
        <v>2000</v>
      </c>
      <c r="P67" s="507">
        <v>2</v>
      </c>
      <c r="Q67" s="524" t="s">
        <v>2000</v>
      </c>
      <c r="R67" s="510">
        <v>2</v>
      </c>
      <c r="S67" s="524" t="s">
        <v>2000</v>
      </c>
      <c r="T67" s="507">
        <v>2</v>
      </c>
      <c r="U67" s="524" t="s">
        <v>2000</v>
      </c>
      <c r="V67" s="507">
        <v>2</v>
      </c>
      <c r="W67" s="524" t="s">
        <v>2000</v>
      </c>
      <c r="X67" s="507">
        <v>2</v>
      </c>
      <c r="Y67" s="524" t="s">
        <v>2000</v>
      </c>
      <c r="Z67" s="507">
        <v>2</v>
      </c>
      <c r="AA67" s="524" t="s">
        <v>2000</v>
      </c>
      <c r="AB67" s="507">
        <v>2</v>
      </c>
      <c r="AC67" s="517"/>
      <c r="AD67" s="4"/>
    </row>
    <row r="68" spans="1:30" ht="29.1">
      <c r="A68" s="8"/>
      <c r="B68" s="8"/>
      <c r="C68" s="54"/>
      <c r="D68" s="504" t="s">
        <v>2073</v>
      </c>
      <c r="E68" s="524" t="s">
        <v>2000</v>
      </c>
      <c r="F68" s="507">
        <v>2</v>
      </c>
      <c r="G68" s="524" t="s">
        <v>2000</v>
      </c>
      <c r="H68" s="507">
        <v>2</v>
      </c>
      <c r="I68" s="524" t="s">
        <v>2000</v>
      </c>
      <c r="J68" s="507">
        <v>2</v>
      </c>
      <c r="K68" s="524" t="s">
        <v>2000</v>
      </c>
      <c r="L68" s="507">
        <v>2</v>
      </c>
      <c r="M68" s="524" t="s">
        <v>2000</v>
      </c>
      <c r="N68" s="507">
        <v>2</v>
      </c>
      <c r="O68" s="524" t="s">
        <v>2000</v>
      </c>
      <c r="P68" s="507">
        <v>2</v>
      </c>
      <c r="Q68" s="524" t="s">
        <v>2000</v>
      </c>
      <c r="R68" s="510">
        <v>2</v>
      </c>
      <c r="S68" s="524" t="s">
        <v>2000</v>
      </c>
      <c r="T68" s="507">
        <v>2</v>
      </c>
      <c r="U68" s="524" t="s">
        <v>2000</v>
      </c>
      <c r="V68" s="507">
        <v>2</v>
      </c>
      <c r="W68" s="524" t="s">
        <v>2000</v>
      </c>
      <c r="X68" s="507">
        <v>2</v>
      </c>
      <c r="Y68" s="524" t="s">
        <v>2000</v>
      </c>
      <c r="Z68" s="507">
        <v>2</v>
      </c>
      <c r="AA68" s="524" t="s">
        <v>2000</v>
      </c>
      <c r="AB68" s="507">
        <v>2</v>
      </c>
      <c r="AC68" s="517"/>
      <c r="AD68" s="4"/>
    </row>
    <row r="69" spans="1:30">
      <c r="A69" s="8"/>
      <c r="B69" s="8"/>
      <c r="C69" s="54"/>
      <c r="D69" s="514"/>
      <c r="E69" s="527"/>
      <c r="F69" s="517"/>
      <c r="G69" s="527"/>
      <c r="H69" s="517"/>
      <c r="I69" s="527"/>
      <c r="J69" s="517"/>
      <c r="K69" s="527"/>
      <c r="L69" s="517"/>
      <c r="M69" s="527"/>
      <c r="N69" s="517"/>
      <c r="O69" s="527"/>
      <c r="P69" s="517"/>
      <c r="Q69" s="527"/>
      <c r="R69" s="516"/>
      <c r="S69" s="527"/>
      <c r="T69" s="518"/>
      <c r="U69" s="527"/>
      <c r="V69" s="517"/>
      <c r="W69" s="527"/>
      <c r="X69" s="517"/>
      <c r="Y69" s="527"/>
      <c r="Z69" s="517"/>
      <c r="AA69" s="527"/>
      <c r="AB69" s="517"/>
      <c r="AC69" s="517"/>
      <c r="AD69" s="4"/>
    </row>
    <row r="70" spans="1:30" ht="29.1">
      <c r="A70" s="8"/>
      <c r="B70" s="8"/>
      <c r="C70" s="54"/>
      <c r="D70" s="504" t="s">
        <v>2074</v>
      </c>
      <c r="E70" s="505" t="s">
        <v>2075</v>
      </c>
      <c r="F70" s="507">
        <v>1</v>
      </c>
      <c r="G70" s="524" t="s">
        <v>2000</v>
      </c>
      <c r="H70" s="507">
        <v>1</v>
      </c>
      <c r="I70" s="505" t="s">
        <v>2076</v>
      </c>
      <c r="J70" s="507">
        <v>1</v>
      </c>
      <c r="K70" s="524" t="s">
        <v>2000</v>
      </c>
      <c r="L70" s="507">
        <v>1</v>
      </c>
      <c r="M70" s="524" t="s">
        <v>2000</v>
      </c>
      <c r="N70" s="507">
        <v>1</v>
      </c>
      <c r="O70" s="524" t="s">
        <v>2000</v>
      </c>
      <c r="P70" s="507">
        <v>1</v>
      </c>
      <c r="Q70" s="524" t="s">
        <v>2000</v>
      </c>
      <c r="R70" s="510">
        <v>1</v>
      </c>
      <c r="S70" s="524" t="s">
        <v>2000</v>
      </c>
      <c r="T70" s="507">
        <v>1</v>
      </c>
      <c r="U70" s="524" t="s">
        <v>2000</v>
      </c>
      <c r="V70" s="507">
        <v>1</v>
      </c>
      <c r="W70" s="524" t="s">
        <v>2000</v>
      </c>
      <c r="X70" s="507">
        <v>1</v>
      </c>
      <c r="Y70" s="524" t="s">
        <v>2000</v>
      </c>
      <c r="Z70" s="507">
        <v>1</v>
      </c>
      <c r="AA70" s="524" t="s">
        <v>2000</v>
      </c>
      <c r="AB70" s="507">
        <v>1</v>
      </c>
      <c r="AC70" s="517"/>
      <c r="AD70" s="4"/>
    </row>
    <row r="71" spans="1:30">
      <c r="A71" s="8"/>
      <c r="B71" s="8"/>
      <c r="C71" s="54"/>
      <c r="D71" s="504" t="s">
        <v>258</v>
      </c>
      <c r="E71" s="505" t="s">
        <v>828</v>
      </c>
      <c r="F71" s="507"/>
      <c r="G71" s="524" t="s">
        <v>828</v>
      </c>
      <c r="H71" s="507"/>
      <c r="I71" s="505" t="s">
        <v>828</v>
      </c>
      <c r="J71" s="507"/>
      <c r="K71" s="524" t="s">
        <v>828</v>
      </c>
      <c r="L71" s="507"/>
      <c r="M71" s="524" t="s">
        <v>828</v>
      </c>
      <c r="N71" s="507"/>
      <c r="O71" s="524" t="s">
        <v>828</v>
      </c>
      <c r="P71" s="507"/>
      <c r="Q71" s="524" t="s">
        <v>828</v>
      </c>
      <c r="R71" s="510"/>
      <c r="S71" s="524" t="s">
        <v>828</v>
      </c>
      <c r="T71" s="509"/>
      <c r="U71" s="524" t="s">
        <v>828</v>
      </c>
      <c r="V71" s="507"/>
      <c r="W71" s="524" t="s">
        <v>828</v>
      </c>
      <c r="X71" s="507"/>
      <c r="Y71" s="524" t="s">
        <v>828</v>
      </c>
      <c r="Z71" s="507"/>
      <c r="AA71" s="524" t="s">
        <v>828</v>
      </c>
      <c r="AB71" s="507"/>
      <c r="AC71" s="517"/>
      <c r="AD71" s="4"/>
    </row>
    <row r="72" spans="1:30">
      <c r="A72" s="8"/>
      <c r="B72" s="8"/>
      <c r="C72" s="54"/>
      <c r="D72" s="504" t="s">
        <v>78</v>
      </c>
      <c r="E72" s="505"/>
      <c r="F72" s="507"/>
      <c r="G72" s="505"/>
      <c r="H72" s="507"/>
      <c r="I72" s="505"/>
      <c r="J72" s="507"/>
      <c r="K72" s="505"/>
      <c r="L72" s="507"/>
      <c r="M72" s="505"/>
      <c r="N72" s="507"/>
      <c r="O72" s="505"/>
      <c r="P72" s="507"/>
      <c r="Q72" s="505"/>
      <c r="R72" s="510"/>
      <c r="S72" s="505"/>
      <c r="T72" s="507"/>
      <c r="U72" s="505"/>
      <c r="V72" s="507"/>
      <c r="W72" s="505"/>
      <c r="X72" s="507"/>
      <c r="Y72" s="505"/>
      <c r="Z72" s="507"/>
      <c r="AA72" s="505"/>
      <c r="AB72" s="507"/>
      <c r="AC72" s="517"/>
      <c r="AD72" s="4"/>
    </row>
    <row r="73" spans="1:30">
      <c r="A73" s="8"/>
      <c r="B73" s="8"/>
      <c r="C73" s="54"/>
      <c r="D73" s="514"/>
      <c r="E73" s="514"/>
      <c r="F73" s="516"/>
      <c r="G73" s="514"/>
      <c r="H73" s="516"/>
      <c r="I73" s="514"/>
      <c r="J73" s="516"/>
      <c r="K73" s="514"/>
      <c r="L73" s="516"/>
      <c r="M73" s="514"/>
      <c r="N73" s="516"/>
      <c r="O73" s="514"/>
      <c r="P73" s="516"/>
      <c r="Q73" s="514"/>
      <c r="R73" s="516"/>
      <c r="S73" s="514"/>
      <c r="T73" s="521"/>
      <c r="U73" s="514"/>
      <c r="V73" s="516"/>
      <c r="W73" s="514"/>
      <c r="X73" s="516"/>
      <c r="Y73" s="514"/>
      <c r="Z73" s="516"/>
      <c r="AA73" s="514"/>
      <c r="AB73" s="516"/>
      <c r="AC73" s="516"/>
      <c r="AD73" s="4"/>
    </row>
    <row r="74" spans="1:30">
      <c r="A74" s="8"/>
      <c r="B74" s="8"/>
      <c r="C74" s="8"/>
      <c r="D74" s="8"/>
      <c r="E74" s="8"/>
      <c r="F74" s="8"/>
      <c r="G74" s="8"/>
      <c r="H74" s="8"/>
      <c r="I74" s="8"/>
      <c r="J74" s="8"/>
      <c r="K74" s="8"/>
      <c r="L74" s="8"/>
      <c r="M74" s="8"/>
      <c r="N74" s="8"/>
      <c r="O74" s="8"/>
      <c r="P74" s="8"/>
      <c r="Q74" s="8"/>
      <c r="R74" s="8"/>
      <c r="S74" s="8"/>
      <c r="T74" s="8"/>
      <c r="U74" s="8"/>
      <c r="V74" s="8"/>
      <c r="W74" s="8"/>
      <c r="X74" s="8"/>
      <c r="Y74" s="8"/>
      <c r="Z74" s="8"/>
      <c r="AA74" s="8"/>
      <c r="AB74" s="8"/>
      <c r="AC74" s="8"/>
      <c r="AD74" s="4"/>
    </row>
    <row r="75" spans="1:30" ht="18.600000000000001">
      <c r="A75" s="4"/>
      <c r="B75" s="4"/>
      <c r="C75" s="102" t="s">
        <v>78</v>
      </c>
      <c r="D75" s="102"/>
      <c r="E75" s="4"/>
      <c r="F75" s="4"/>
      <c r="G75" s="4"/>
      <c r="H75" s="4"/>
      <c r="I75" s="4"/>
      <c r="J75" s="4"/>
      <c r="K75" s="4"/>
      <c r="L75" s="4"/>
      <c r="M75" s="4"/>
      <c r="N75" s="4"/>
      <c r="O75" s="4"/>
      <c r="P75" s="4"/>
      <c r="Q75" s="4"/>
      <c r="R75" s="4"/>
      <c r="S75" s="4"/>
      <c r="T75" s="4"/>
      <c r="U75" s="4"/>
      <c r="V75" s="4"/>
      <c r="W75" s="4"/>
      <c r="X75" s="4"/>
      <c r="Y75" s="4"/>
      <c r="Z75" s="4"/>
      <c r="AA75" s="4"/>
      <c r="AB75" s="4"/>
      <c r="AC75" s="4"/>
      <c r="AD75" s="4"/>
    </row>
    <row r="76" spans="1:30" outlineLevel="1">
      <c r="A76" s="4"/>
      <c r="B76" s="4"/>
      <c r="C76" s="4"/>
      <c r="D76" s="92"/>
      <c r="E76" s="4"/>
      <c r="F76" s="4"/>
      <c r="G76" s="4"/>
      <c r="H76" s="4"/>
      <c r="I76" s="4"/>
      <c r="J76" s="4"/>
      <c r="K76" s="4"/>
      <c r="L76" s="4"/>
      <c r="M76" s="4"/>
      <c r="N76" s="4"/>
      <c r="O76" s="4"/>
      <c r="P76" s="4"/>
      <c r="Q76" s="4"/>
      <c r="R76" s="4"/>
      <c r="S76" s="4"/>
      <c r="T76" s="4"/>
      <c r="U76" s="4"/>
      <c r="V76" s="4"/>
      <c r="W76" s="4"/>
      <c r="X76" s="4"/>
      <c r="Y76" s="4"/>
      <c r="Z76" s="4"/>
      <c r="AA76" s="4"/>
      <c r="AB76" s="4"/>
      <c r="AC76" s="4"/>
      <c r="AD76" s="4"/>
    </row>
    <row r="77" spans="1:30" outlineLevel="1">
      <c r="A77" s="4"/>
      <c r="B77" s="4"/>
      <c r="C77" s="1" t="s">
        <v>2077</v>
      </c>
      <c r="D77" s="1"/>
      <c r="E77" s="7"/>
      <c r="F77" s="7"/>
      <c r="G77" s="7"/>
      <c r="H77" s="7"/>
      <c r="I77" s="7"/>
      <c r="J77" s="7"/>
      <c r="K77" s="7"/>
      <c r="L77" s="7"/>
      <c r="M77" s="7"/>
      <c r="N77" s="7"/>
      <c r="O77" s="7"/>
      <c r="P77" s="7"/>
      <c r="Q77" s="7"/>
      <c r="R77" s="7"/>
      <c r="S77" s="7"/>
      <c r="T77" s="7"/>
      <c r="U77" s="7"/>
      <c r="V77" s="7"/>
      <c r="W77" s="7"/>
      <c r="X77" s="7"/>
      <c r="Y77" s="7"/>
      <c r="Z77" s="7"/>
      <c r="AA77" s="7"/>
      <c r="AB77" s="7"/>
      <c r="AC77" s="7"/>
      <c r="AD77" s="4"/>
    </row>
    <row r="78" spans="1:30">
      <c r="A78" s="4"/>
      <c r="B78" s="4"/>
      <c r="C78" s="4"/>
      <c r="D78" s="4"/>
      <c r="E78" s="4"/>
      <c r="F78" s="4"/>
      <c r="G78" s="4"/>
      <c r="H78" s="4"/>
      <c r="I78" s="4"/>
      <c r="J78" s="4"/>
      <c r="K78" s="4"/>
      <c r="L78" s="4"/>
      <c r="M78" s="4"/>
      <c r="N78" s="4"/>
      <c r="O78" s="4"/>
      <c r="P78" s="4"/>
      <c r="Q78" s="4"/>
      <c r="R78" s="4"/>
      <c r="S78" s="4"/>
      <c r="T78" s="4"/>
      <c r="U78" s="4"/>
      <c r="V78" s="4"/>
      <c r="W78" s="4"/>
      <c r="X78" s="4"/>
      <c r="Y78" s="4"/>
      <c r="Z78" s="4"/>
      <c r="AA78" s="4"/>
      <c r="AB78" s="4"/>
      <c r="AC78" s="4"/>
      <c r="AD78" s="4"/>
    </row>
  </sheetData>
  <mergeCells count="2">
    <mergeCell ref="C2:AC2"/>
    <mergeCell ref="C3:AC3"/>
  </mergeCells>
  <phoneticPr fontId="65"/>
  <conditionalFormatting sqref="F6:F13 F15:F73">
    <cfRule type="iconSet" priority="697">
      <iconSet iconSet="4TrafficLights" showValue="0">
        <cfvo type="percent" val="0"/>
        <cfvo type="num" val="1"/>
        <cfvo type="num" val="2"/>
        <cfvo type="num" val="3"/>
      </iconSet>
    </cfRule>
  </conditionalFormatting>
  <conditionalFormatting sqref="H24:H25">
    <cfRule type="iconSet" priority="11">
      <iconSet iconSet="4TrafficLights" showValue="0">
        <cfvo type="percent" val="0"/>
        <cfvo type="num" val="1"/>
        <cfvo type="num" val="2"/>
        <cfvo type="num" val="3"/>
      </iconSet>
    </cfRule>
  </conditionalFormatting>
  <conditionalFormatting sqref="H26:H72 H6:H13 H15:H23">
    <cfRule type="iconSet" priority="700">
      <iconSet iconSet="4TrafficLights" showValue="0">
        <cfvo type="percent" val="0"/>
        <cfvo type="num" val="1"/>
        <cfvo type="num" val="2"/>
        <cfvo type="num" val="3"/>
      </iconSet>
    </cfRule>
  </conditionalFormatting>
  <conditionalFormatting sqref="J6:J13 J15:J73">
    <cfRule type="iconSet" priority="704">
      <iconSet iconSet="4TrafficLights" showValue="0">
        <cfvo type="percent" val="0"/>
        <cfvo type="num" val="1"/>
        <cfvo type="num" val="2"/>
        <cfvo type="num" val="3"/>
      </iconSet>
    </cfRule>
  </conditionalFormatting>
  <conditionalFormatting sqref="L24:L25">
    <cfRule type="iconSet" priority="10">
      <iconSet iconSet="4TrafficLights" showValue="0">
        <cfvo type="percent" val="0"/>
        <cfvo type="num" val="1"/>
        <cfvo type="num" val="2"/>
        <cfvo type="num" val="3"/>
      </iconSet>
    </cfRule>
  </conditionalFormatting>
  <conditionalFormatting sqref="L26:L72 L6:L13 L15:L23">
    <cfRule type="iconSet" priority="707">
      <iconSet iconSet="4TrafficLights" showValue="0">
        <cfvo type="percent" val="0"/>
        <cfvo type="num" val="1"/>
        <cfvo type="num" val="2"/>
        <cfvo type="num" val="3"/>
      </iconSet>
    </cfRule>
  </conditionalFormatting>
  <conditionalFormatting sqref="N23:N25">
    <cfRule type="iconSet" priority="9">
      <iconSet iconSet="4TrafficLights" showValue="0">
        <cfvo type="percent" val="0"/>
        <cfvo type="num" val="1"/>
        <cfvo type="num" val="2"/>
        <cfvo type="num" val="3"/>
      </iconSet>
    </cfRule>
  </conditionalFormatting>
  <conditionalFormatting sqref="N26:N72 N6:N13 N15:N22">
    <cfRule type="iconSet" priority="711">
      <iconSet iconSet="4TrafficLights" showValue="0">
        <cfvo type="percent" val="0"/>
        <cfvo type="num" val="1"/>
        <cfvo type="num" val="2"/>
        <cfvo type="num" val="3"/>
      </iconSet>
    </cfRule>
  </conditionalFormatting>
  <conditionalFormatting sqref="P22:P26">
    <cfRule type="iconSet" priority="8">
      <iconSet iconSet="4TrafficLights" showValue="0">
        <cfvo type="percent" val="0"/>
        <cfvo type="num" val="1"/>
        <cfvo type="num" val="2"/>
        <cfvo type="num" val="3"/>
      </iconSet>
    </cfRule>
  </conditionalFormatting>
  <conditionalFormatting sqref="P27:P72 P6:P13 P15:P21">
    <cfRule type="iconSet" priority="715">
      <iconSet iconSet="4TrafficLights" showValue="0">
        <cfvo type="percent" val="0"/>
        <cfvo type="num" val="1"/>
        <cfvo type="num" val="2"/>
        <cfvo type="num" val="3"/>
      </iconSet>
    </cfRule>
  </conditionalFormatting>
  <conditionalFormatting sqref="R20:R26">
    <cfRule type="iconSet" priority="7">
      <iconSet iconSet="4TrafficLights" showValue="0">
        <cfvo type="percent" val="0"/>
        <cfvo type="num" val="1"/>
        <cfvo type="num" val="2"/>
        <cfvo type="num" val="3"/>
      </iconSet>
    </cfRule>
  </conditionalFormatting>
  <conditionalFormatting sqref="R27:R72 R6:R13 R15:R19">
    <cfRule type="iconSet" priority="719">
      <iconSet iconSet="4TrafficLights" showValue="0">
        <cfvo type="percent" val="0"/>
        <cfvo type="num" val="1"/>
        <cfvo type="num" val="2"/>
        <cfvo type="num" val="3"/>
      </iconSet>
    </cfRule>
  </conditionalFormatting>
  <conditionalFormatting sqref="T20:T26">
    <cfRule type="iconSet" priority="6">
      <iconSet iconSet="4TrafficLights" showValue="0">
        <cfvo type="percent" val="0"/>
        <cfvo type="num" val="1"/>
        <cfvo type="num" val="2"/>
        <cfvo type="num" val="3"/>
      </iconSet>
    </cfRule>
  </conditionalFormatting>
  <conditionalFormatting sqref="T27:T72 T6:T13 T15:T19">
    <cfRule type="iconSet" priority="723">
      <iconSet iconSet="4TrafficLights" showValue="0">
        <cfvo type="percent" val="0"/>
        <cfvo type="num" val="1"/>
        <cfvo type="num" val="2"/>
        <cfvo type="num" val="3"/>
      </iconSet>
    </cfRule>
  </conditionalFormatting>
  <conditionalFormatting sqref="V20:V26">
    <cfRule type="iconSet" priority="5">
      <iconSet iconSet="4TrafficLights" showValue="0">
        <cfvo type="percent" val="0"/>
        <cfvo type="num" val="1"/>
        <cfvo type="num" val="2"/>
        <cfvo type="num" val="3"/>
      </iconSet>
    </cfRule>
  </conditionalFormatting>
  <conditionalFormatting sqref="V27:V72 V6:V13 V15:V19">
    <cfRule type="iconSet" priority="727">
      <iconSet iconSet="4TrafficLights" showValue="0">
        <cfvo type="percent" val="0"/>
        <cfvo type="num" val="1"/>
        <cfvo type="num" val="2"/>
        <cfvo type="num" val="3"/>
      </iconSet>
    </cfRule>
  </conditionalFormatting>
  <conditionalFormatting sqref="X20:X26">
    <cfRule type="iconSet" priority="4">
      <iconSet iconSet="4TrafficLights" showValue="0">
        <cfvo type="percent" val="0"/>
        <cfvo type="num" val="1"/>
        <cfvo type="num" val="2"/>
        <cfvo type="num" val="3"/>
      </iconSet>
    </cfRule>
  </conditionalFormatting>
  <conditionalFormatting sqref="X27:X72 X6:X13 X15:X19">
    <cfRule type="iconSet" priority="731">
      <iconSet iconSet="4TrafficLights" showValue="0">
        <cfvo type="percent" val="0"/>
        <cfvo type="num" val="1"/>
        <cfvo type="num" val="2"/>
        <cfvo type="num" val="3"/>
      </iconSet>
    </cfRule>
  </conditionalFormatting>
  <conditionalFormatting sqref="Z20:Z26">
    <cfRule type="iconSet" priority="3">
      <iconSet iconSet="4TrafficLights" showValue="0">
        <cfvo type="percent" val="0"/>
        <cfvo type="num" val="1"/>
        <cfvo type="num" val="2"/>
        <cfvo type="num" val="3"/>
      </iconSet>
    </cfRule>
  </conditionalFormatting>
  <conditionalFormatting sqref="Z27:Z72 Z6:Z13 Z15:Z19">
    <cfRule type="iconSet" priority="735">
      <iconSet iconSet="4TrafficLights" showValue="0">
        <cfvo type="percent" val="0"/>
        <cfvo type="num" val="1"/>
        <cfvo type="num" val="2"/>
        <cfvo type="num" val="3"/>
      </iconSet>
    </cfRule>
  </conditionalFormatting>
  <conditionalFormatting sqref="AA4:AB4">
    <cfRule type="iconSet" priority="580">
      <iconSet iconSet="4TrafficLights" showValue="0">
        <cfvo type="percent" val="0"/>
        <cfvo type="num" val="1"/>
        <cfvo type="num" val="2"/>
        <cfvo type="num" val="3"/>
      </iconSet>
    </cfRule>
  </conditionalFormatting>
  <conditionalFormatting sqref="AB20:AB26">
    <cfRule type="iconSet" priority="2">
      <iconSet iconSet="4TrafficLights" showValue="0">
        <cfvo type="percent" val="0"/>
        <cfvo type="num" val="1"/>
        <cfvo type="num" val="2"/>
        <cfvo type="num" val="3"/>
      </iconSet>
    </cfRule>
  </conditionalFormatting>
  <conditionalFormatting sqref="AB27:AB72 AB6:AB13 AB15:AB19">
    <cfRule type="iconSet" priority="739">
      <iconSet iconSet="4TrafficLights" showValue="0">
        <cfvo type="percent" val="0"/>
        <cfvo type="num" val="1"/>
        <cfvo type="num" val="2"/>
        <cfvo type="num" val="3"/>
      </iconSet>
    </cfRule>
  </conditionalFormatting>
  <dataValidations count="5">
    <dataValidation allowBlank="1" showInputMessage="1" showErrorMessage="1" promptTitle="Info" prompt="Data in this row is from the Business Impact Analysis." sqref="D10" xr:uid="{28ECB0EE-A2F9-47C5-A231-FFC3A87497DD}"/>
    <dataValidation allowBlank="1" showInputMessage="1" showErrorMessage="1" promptTitle="Info" prompt="Data is from the Business Impact Analysis." sqref="D12:D13" xr:uid="{44B4ED92-36FD-4418-B4BD-035D0CF1D7E7}"/>
    <dataValidation allowBlank="1" showInputMessage="1" showErrorMessage="1" promptTitle="Info" prompt="Applications that this application is dependent on." sqref="D26" xr:uid="{83EFEFC3-1F87-4CD8-B791-CCB2B90B75FA}"/>
    <dataValidation allowBlank="1" showInputMessage="1" showErrorMessage="1" promptTitle="Info" prompt="Applications that depends on this application." sqref="D27" xr:uid="{7F613097-87A7-418A-B798-7EDC7D3F382E}"/>
    <dataValidation allowBlank="1" showInputMessage="1" showErrorMessage="1" promptTitle="Info" prompt="A contingency plan defines how operations can be continued in the event that the system can not be restored back to operation." sqref="D71" xr:uid="{41C69606-6AC5-4A85-AA64-69E72E4D41DF}"/>
  </dataValidations>
  <hyperlinks>
    <hyperlink ref="I31" r:id="rId1" xr:uid="{F2374F33-472F-4E48-8E72-1AC7604F7EF1}"/>
    <hyperlink ref="S31" r:id="rId2" xr:uid="{BA877C91-18A0-4CD4-B394-F4F47D0E54F9}"/>
    <hyperlink ref="W31" r:id="rId3" xr:uid="{D72CF88E-6357-4505-AB42-FCE1DC7FF17B}"/>
    <hyperlink ref="Y31" r:id="rId4" xr:uid="{F156B7C6-AF98-48E1-8CC9-2CDCDA11441E}"/>
    <hyperlink ref="AA31" r:id="rId5" xr:uid="{76626FD9-E3DE-4DC5-A2BA-45AE02172385}"/>
    <hyperlink ref="L29" location="'2. Assess (Workshop)'!A1" display="&lt;Link&gt;" xr:uid="{3113EC38-0056-4ACA-A1AB-2C3D94C23004}"/>
    <hyperlink ref="L30" location="'2. Assess (AppMap Graphic)'!A1" display="&lt;Link&gt;" xr:uid="{CE6A8242-2C98-47FF-900E-B9414C8959B9}"/>
    <hyperlink ref="N29" location="'2. Assess (Workshop)'!A1" display="&lt;Link&gt;" xr:uid="{07B90401-A03C-4BF1-99DF-99C8897FF782}"/>
    <hyperlink ref="N30" location="'2. Assess (AppMap Graphic)'!A1" display="&lt;Link&gt;" xr:uid="{158E95A2-5D6A-47D2-A00F-15A0A57FEE8A}"/>
    <hyperlink ref="P29" location="'2. Assess (Workshop)'!A1" display="&lt;Link&gt;" xr:uid="{4E6CCAF9-FED4-4265-99D4-80CD40F4F5E0}"/>
    <hyperlink ref="P30" location="'2. Assess (AppMap Graphic)'!A1" display="&lt;Link&gt;" xr:uid="{89C17218-09C2-40C0-ACEE-2688A95CFEC4}"/>
    <hyperlink ref="R29" location="'2. Assess (Workshop)'!A1" display="&lt;Link&gt;" xr:uid="{A9515816-E8A5-4EE1-9033-03DA3B9F7764}"/>
    <hyperlink ref="R30" location="'2. Assess (AppMap Graphic)'!A1" display="&lt;Link&gt;" xr:uid="{BCCCFDD2-5767-4975-9D81-08CEA0927E88}"/>
    <hyperlink ref="T29" location="'2. Assess (Workshop)'!A1" display="&lt;Link&gt;" xr:uid="{64BC93EC-38C1-4F52-AA45-368F845B12F0}"/>
    <hyperlink ref="T30" location="'2. Assess (AppMap Graphic)'!A1" display="&lt;Link&gt;" xr:uid="{CB778287-C643-47B6-8A75-98A41E170CA4}"/>
    <hyperlink ref="V29" location="'2. Assess (Workshop)'!A1" display="&lt;Link&gt;" xr:uid="{F7A60175-96A3-4E68-9657-552EEC0188D1}"/>
    <hyperlink ref="V30" location="'2. Assess (AppMap Graphic)'!A1" display="&lt;Link&gt;" xr:uid="{D1EB65B1-341E-400D-9EC0-D7ED9BC38D9B}"/>
    <hyperlink ref="X29" location="'2. Assess (Workshop)'!A1" display="&lt;Link&gt;" xr:uid="{CB5FEBF9-872F-45F0-8033-BD3BBD10C617}"/>
    <hyperlink ref="X30" location="'2. Assess (AppMap Graphic)'!A1" display="&lt;Link&gt;" xr:uid="{08E9B678-9BD5-430E-AC85-965E796E68A0}"/>
    <hyperlink ref="Z29" location="'2. Assess (Workshop)'!A1" display="&lt;Link&gt;" xr:uid="{BB88E659-EEEE-4230-BB7A-9287EEA1BE4A}"/>
    <hyperlink ref="Z30" location="'2. Assess (AppMap Graphic)'!A1" display="&lt;Link&gt;" xr:uid="{D8C83437-98AA-45A3-90AD-DEEF445C28D1}"/>
    <hyperlink ref="AB29" location="'2. Assess (Workshop)'!A1" display="&lt;Link&gt;" xr:uid="{557DA741-921F-4EA1-9FB4-53DCEC2466BE}"/>
    <hyperlink ref="AB30" location="'2. Assess (AppMap Graphic)'!A1" display="&lt;Link&gt;" xr:uid="{6CEC53E2-AA50-44D7-BC76-82D5017A4209}"/>
    <hyperlink ref="E31" r:id="rId6" display="https://github.com/Azure/Enterprise-Scale/tree/main/docs/reference/adventureworks" xr:uid="{4D4B7DEF-3850-408C-98AA-1B613641E958}"/>
    <hyperlink ref="G31" r:id="rId7" display="https://github.com/Azure/Enterprise-Scale/tree/main/docs/reference/adventureworks" xr:uid="{E305AEA5-16FA-4C5E-B348-AE80F7F447F6}"/>
    <hyperlink ref="K31" r:id="rId8" display="https://github.com/Azure/Enterprise-Scale/tree/main/docs/reference/adventureworks" xr:uid="{9D5D2DD9-0755-448E-9355-D4C9F8BA3160}"/>
    <hyperlink ref="M31" r:id="rId9" display="https://github.com/Azure/Enterprise-Scale/tree/main/docs/reference/adventureworks" xr:uid="{23502724-5DD0-4524-93FB-20CC835AD27B}"/>
    <hyperlink ref="O31" r:id="rId10" display="https://github.com/Azure/Enterprise-Scale/tree/main/docs/reference/adventureworks" xr:uid="{78EC48CB-C7DA-40CE-9C6F-FDEF88CDEB56}"/>
    <hyperlink ref="Q31" r:id="rId11" display="https://github.com/Azure/Enterprise-Scale/tree/main/docs/reference/adventureworks" xr:uid="{B7198DE2-50D4-416A-8B2C-CEA9280D69AD}"/>
    <hyperlink ref="U31" r:id="rId12" display="https://github.com/Azure/Enterprise-Scale/tree/main/docs/reference/adventureworks" xr:uid="{AA028D2F-5A43-4F51-B388-DF91DF813A6C}"/>
    <hyperlink ref="D51" r:id="rId13" xr:uid="{C12D6D59-D3AF-47D6-A3DC-26AA054DDF49}"/>
    <hyperlink ref="C77" r:id="rId14" display="https://learn.microsoft.com/en-us/azure/reliability/business-continuity-management-program" xr:uid="{4483C2E9-8DEF-4987-BF9A-AACBEB7E3F98}"/>
  </hyperlinks>
  <pageMargins left="0.7" right="0.7" top="0.75" bottom="0.75" header="0.3" footer="0.3"/>
  <pageSetup orientation="portrait" r:id="rId15"/>
  <drawing r:id="rId16"/>
  <extLst>
    <ext xmlns:x14="http://schemas.microsoft.com/office/spreadsheetml/2009/9/main" uri="{78C0D931-6437-407d-A8EE-F0AAD7539E65}">
      <x14:conditionalFormattings>
        <x14:conditionalFormatting xmlns:xm="http://schemas.microsoft.com/office/excel/2006/main">
          <x14:cfRule type="cellIs" priority="125" operator="equal" id="{625732FB-FA47-49FA-AFEC-C3F740C8D48D}">
            <xm:f>Data!$L$10</xm:f>
            <x14:dxf>
              <font>
                <color theme="0"/>
              </font>
              <fill>
                <patternFill>
                  <bgColor rgb="FFF25022"/>
                </patternFill>
              </fill>
            </x14:dxf>
          </x14:cfRule>
          <x14:cfRule type="cellIs" priority="124" operator="equal" id="{825471FD-5535-4D8A-ADC3-08E7A05E9882}">
            <xm:f>Data!$L$11</xm:f>
            <x14:dxf>
              <font>
                <color theme="0"/>
              </font>
              <fill>
                <patternFill>
                  <bgColor rgb="FFF25022"/>
                </patternFill>
              </fill>
            </x14:dxf>
          </x14:cfRule>
          <x14:cfRule type="cellIs" priority="123" operator="equal" id="{86ABA072-40A1-4006-84EB-826B1AD6206B}">
            <xm:f>Data!$L$12</xm:f>
            <x14:dxf>
              <font>
                <color theme="0"/>
              </font>
              <fill>
                <patternFill>
                  <bgColor rgb="FFF25022"/>
                </patternFill>
              </fill>
            </x14:dxf>
          </x14:cfRule>
          <x14:cfRule type="cellIs" priority="127" operator="equal" id="{D87860C5-F1D6-4CFD-8F47-32BE920DA366}">
            <xm:f>Data!$L$9</xm:f>
            <x14:dxf>
              <font>
                <color theme="1"/>
              </font>
              <fill>
                <patternFill>
                  <bgColor rgb="FF7FBA00"/>
                </patternFill>
              </fill>
            </x14:dxf>
          </x14:cfRule>
          <x14:cfRule type="cellIs" priority="122" operator="equal" id="{8560A556-599D-4103-98CC-9948DF88912A}">
            <xm:f>Data!$L$13</xm:f>
            <x14:dxf>
              <font>
                <color theme="0"/>
              </font>
              <fill>
                <patternFill>
                  <bgColor rgb="FFF25022"/>
                </patternFill>
              </fill>
            </x14:dxf>
          </x14:cfRule>
          <x14:cfRule type="cellIs" priority="131" operator="equal" id="{B0C7A3CE-51F9-4670-B284-C56AF7D17090}">
            <xm:f>Data!$L$6+Data!$L$14</xm:f>
            <x14:dxf>
              <font>
                <color theme="0"/>
              </font>
              <fill>
                <patternFill>
                  <bgColor rgb="FF747474"/>
                </patternFill>
              </fill>
            </x14:dxf>
          </x14:cfRule>
          <x14:cfRule type="cellIs" priority="130" operator="equal" id="{BD166E11-3285-424B-B603-71DEC5E8EA9B}">
            <xm:f>Data!$L$5</xm:f>
            <x14:dxf>
              <font>
                <color theme="0"/>
              </font>
              <fill>
                <patternFill>
                  <bgColor rgb="FFF25022"/>
                </patternFill>
              </fill>
            </x14:dxf>
          </x14:cfRule>
          <x14:cfRule type="cellIs" priority="129" operator="equal" id="{EB324A37-C8E1-4F9B-A1EE-BCE34376ECD5}">
            <xm:f>Data!$L$7</xm:f>
            <x14:dxf>
              <font>
                <color theme="1"/>
              </font>
              <fill>
                <patternFill>
                  <bgColor rgb="FFFFB900"/>
                </patternFill>
              </fill>
            </x14:dxf>
          </x14:cfRule>
          <x14:cfRule type="cellIs" priority="128" operator="equal" id="{B36B10E7-4A4B-4688-A197-5513D7BF7998}">
            <xm:f>Data!$L$8</xm:f>
            <x14:dxf>
              <font>
                <color theme="1"/>
              </font>
              <fill>
                <patternFill>
                  <bgColor rgb="FF00A4EF"/>
                </patternFill>
              </fill>
            </x14:dxf>
          </x14:cfRule>
          <x14:cfRule type="cellIs" priority="126" operator="equal" id="{484A9A9F-5C06-4924-BF75-BD119C817E91}">
            <xm:f>Data!$L$6</xm:f>
            <x14:dxf>
              <font>
                <color theme="0"/>
              </font>
              <fill>
                <patternFill>
                  <bgColor rgb="FFF25022"/>
                </patternFill>
              </fill>
            </x14:dxf>
          </x14:cfRule>
          <xm:sqref>E13</xm:sqref>
        </x14:conditionalFormatting>
        <x14:conditionalFormatting xmlns:xm="http://schemas.microsoft.com/office/excel/2006/main">
          <x14:cfRule type="cellIs" priority="121" operator="equal" id="{4E1F48AC-B65F-4CA0-96F4-A07F0FBAE7AA}">
            <xm:f>Data!$L$6+Data!$L$14</xm:f>
            <x14:dxf>
              <font>
                <color theme="0"/>
              </font>
              <fill>
                <patternFill>
                  <bgColor rgb="FF747474"/>
                </patternFill>
              </fill>
            </x14:dxf>
          </x14:cfRule>
          <x14:cfRule type="cellIs" priority="112" operator="equal" id="{DD04925E-56C3-404C-A577-0AA2F81208AD}">
            <xm:f>Data!$L$13</xm:f>
            <x14:dxf>
              <font>
                <color theme="0"/>
              </font>
              <fill>
                <patternFill>
                  <bgColor rgb="FFF25022"/>
                </patternFill>
              </fill>
            </x14:dxf>
          </x14:cfRule>
          <x14:cfRule type="cellIs" priority="113" operator="equal" id="{BC13DAFD-CB78-4467-B059-EA4E069FB6B8}">
            <xm:f>Data!$L$12</xm:f>
            <x14:dxf>
              <font>
                <color theme="0"/>
              </font>
              <fill>
                <patternFill>
                  <bgColor rgb="FFF25022"/>
                </patternFill>
              </fill>
            </x14:dxf>
          </x14:cfRule>
          <x14:cfRule type="cellIs" priority="114" operator="equal" id="{39200DBD-6722-4D17-B525-49ED94DD0D1F}">
            <xm:f>Data!$L$11</xm:f>
            <x14:dxf>
              <font>
                <color theme="0"/>
              </font>
              <fill>
                <patternFill>
                  <bgColor rgb="FFF25022"/>
                </patternFill>
              </fill>
            </x14:dxf>
          </x14:cfRule>
          <x14:cfRule type="cellIs" priority="115" operator="equal" id="{64A63AD8-A210-4C9F-BEA5-36EC1F8DD415}">
            <xm:f>Data!$L$10</xm:f>
            <x14:dxf>
              <font>
                <color theme="0"/>
              </font>
              <fill>
                <patternFill>
                  <bgColor rgb="FFF25022"/>
                </patternFill>
              </fill>
            </x14:dxf>
          </x14:cfRule>
          <x14:cfRule type="cellIs" priority="116" operator="equal" id="{E38C19C8-AC9D-43DB-B211-C7E8914BFF32}">
            <xm:f>Data!$L$6</xm:f>
            <x14:dxf>
              <font>
                <color theme="0"/>
              </font>
              <fill>
                <patternFill>
                  <bgColor rgb="FFF25022"/>
                </patternFill>
              </fill>
            </x14:dxf>
          </x14:cfRule>
          <x14:cfRule type="cellIs" priority="117" operator="equal" id="{116BA75A-771C-4761-A8B8-C5848712A428}">
            <xm:f>Data!$L$9</xm:f>
            <x14:dxf>
              <font>
                <color theme="1"/>
              </font>
              <fill>
                <patternFill>
                  <bgColor rgb="FF7FBA00"/>
                </patternFill>
              </fill>
            </x14:dxf>
          </x14:cfRule>
          <x14:cfRule type="cellIs" priority="118" operator="equal" id="{D9AB961F-659A-4CC3-9606-E2431BFB4322}">
            <xm:f>Data!$L$8</xm:f>
            <x14:dxf>
              <font>
                <color theme="1"/>
              </font>
              <fill>
                <patternFill>
                  <bgColor rgb="FF00A4EF"/>
                </patternFill>
              </fill>
            </x14:dxf>
          </x14:cfRule>
          <x14:cfRule type="cellIs" priority="119" operator="equal" id="{A256968D-97D9-495F-BA28-D531F21ABC37}">
            <xm:f>Data!$L$7</xm:f>
            <x14:dxf>
              <font>
                <color theme="1"/>
              </font>
              <fill>
                <patternFill>
                  <bgColor rgb="FFFFB900"/>
                </patternFill>
              </fill>
            </x14:dxf>
          </x14:cfRule>
          <x14:cfRule type="cellIs" priority="120" operator="equal" id="{3C3E9BC5-51A1-4372-A284-847E4C7999BD}">
            <xm:f>Data!$L$5</xm:f>
            <x14:dxf>
              <font>
                <color theme="0"/>
              </font>
              <fill>
                <patternFill>
                  <bgColor rgb="FFF25022"/>
                </patternFill>
              </fill>
            </x14:dxf>
          </x14:cfRule>
          <xm:sqref>G13</xm:sqref>
        </x14:conditionalFormatting>
        <x14:conditionalFormatting xmlns:xm="http://schemas.microsoft.com/office/excel/2006/main">
          <x14:cfRule type="cellIs" priority="110" operator="equal" id="{E8F344A9-F027-4C39-B20C-CD625E7A6FF6}">
            <xm:f>Data!$L$5</xm:f>
            <x14:dxf>
              <font>
                <color theme="0"/>
              </font>
              <fill>
                <patternFill>
                  <bgColor rgb="FFF25022"/>
                </patternFill>
              </fill>
            </x14:dxf>
          </x14:cfRule>
          <x14:cfRule type="cellIs" priority="111" operator="equal" id="{58873707-2843-47C6-8FD5-47DF4BE9AF7B}">
            <xm:f>Data!$L$6+Data!$L$14</xm:f>
            <x14:dxf>
              <font>
                <color theme="0"/>
              </font>
              <fill>
                <patternFill>
                  <bgColor rgb="FF747474"/>
                </patternFill>
              </fill>
            </x14:dxf>
          </x14:cfRule>
          <x14:cfRule type="cellIs" priority="109" operator="equal" id="{98FB22A3-7C33-423A-BCD3-E523E67DD613}">
            <xm:f>Data!$L$7</xm:f>
            <x14:dxf>
              <font>
                <color theme="1"/>
              </font>
              <fill>
                <patternFill>
                  <bgColor rgb="FFFFB900"/>
                </patternFill>
              </fill>
            </x14:dxf>
          </x14:cfRule>
          <x14:cfRule type="cellIs" priority="108" operator="equal" id="{C878BC47-605F-4BE4-B841-E9ACD359322C}">
            <xm:f>Data!$L$8</xm:f>
            <x14:dxf>
              <font>
                <color theme="1"/>
              </font>
              <fill>
                <patternFill>
                  <bgColor rgb="FF00A4EF"/>
                </patternFill>
              </fill>
            </x14:dxf>
          </x14:cfRule>
          <x14:cfRule type="cellIs" priority="107" operator="equal" id="{D4756375-CA16-4F5E-BEEE-A3ABFE5DE530}">
            <xm:f>Data!$L$9</xm:f>
            <x14:dxf>
              <font>
                <color theme="1"/>
              </font>
              <fill>
                <patternFill>
                  <bgColor rgb="FF7FBA00"/>
                </patternFill>
              </fill>
            </x14:dxf>
          </x14:cfRule>
          <x14:cfRule type="cellIs" priority="106" operator="equal" id="{CA4A7FB0-8CFC-4F5F-BF16-56AAC50279C3}">
            <xm:f>Data!$L$6</xm:f>
            <x14:dxf>
              <font>
                <color theme="0"/>
              </font>
              <fill>
                <patternFill>
                  <bgColor rgb="FFF25022"/>
                </patternFill>
              </fill>
            </x14:dxf>
          </x14:cfRule>
          <x14:cfRule type="cellIs" priority="105" operator="equal" id="{EAAF6E5F-0DD0-4CBE-A7F1-A6E7BBB831DC}">
            <xm:f>Data!$L$10</xm:f>
            <x14:dxf>
              <font>
                <color theme="0"/>
              </font>
              <fill>
                <patternFill>
                  <bgColor rgb="FFF25022"/>
                </patternFill>
              </fill>
            </x14:dxf>
          </x14:cfRule>
          <x14:cfRule type="cellIs" priority="104" operator="equal" id="{CB0E9252-E495-4AA1-BDEC-30AB75CD655E}">
            <xm:f>Data!$L$11</xm:f>
            <x14:dxf>
              <font>
                <color theme="0"/>
              </font>
              <fill>
                <patternFill>
                  <bgColor rgb="FFF25022"/>
                </patternFill>
              </fill>
            </x14:dxf>
          </x14:cfRule>
          <x14:cfRule type="cellIs" priority="103" operator="equal" id="{091C143F-452B-4E35-9108-75A5C5D371DD}">
            <xm:f>Data!$L$12</xm:f>
            <x14:dxf>
              <font>
                <color theme="0"/>
              </font>
              <fill>
                <patternFill>
                  <bgColor rgb="FFF25022"/>
                </patternFill>
              </fill>
            </x14:dxf>
          </x14:cfRule>
          <x14:cfRule type="cellIs" priority="102" operator="equal" id="{9892186B-15CD-472B-9BF6-F961B06E4D98}">
            <xm:f>Data!$L$13</xm:f>
            <x14:dxf>
              <font>
                <color theme="0"/>
              </font>
              <fill>
                <patternFill>
                  <bgColor rgb="FFF25022"/>
                </patternFill>
              </fill>
            </x14:dxf>
          </x14:cfRule>
          <xm:sqref>I13</xm:sqref>
        </x14:conditionalFormatting>
        <x14:conditionalFormatting xmlns:xm="http://schemas.microsoft.com/office/excel/2006/main">
          <x14:cfRule type="cellIs" priority="94" operator="equal" id="{06468604-6D21-42E9-8DB5-915DA5BAE758}">
            <xm:f>Data!$L$11</xm:f>
            <x14:dxf>
              <font>
                <color theme="0"/>
              </font>
              <fill>
                <patternFill>
                  <bgColor rgb="FFF25022"/>
                </patternFill>
              </fill>
            </x14:dxf>
          </x14:cfRule>
          <x14:cfRule type="cellIs" priority="93" operator="equal" id="{256D811D-D5F8-4B5A-BC10-D1F490F31216}">
            <xm:f>Data!$L$12</xm:f>
            <x14:dxf>
              <font>
                <color theme="0"/>
              </font>
              <fill>
                <patternFill>
                  <bgColor rgb="FFF25022"/>
                </patternFill>
              </fill>
            </x14:dxf>
          </x14:cfRule>
          <x14:cfRule type="cellIs" priority="92" operator="equal" id="{2903D048-71EB-40B0-B965-44F0BA8C3AB8}">
            <xm:f>Data!$L$13</xm:f>
            <x14:dxf>
              <font>
                <color theme="0"/>
              </font>
              <fill>
                <patternFill>
                  <bgColor rgb="FFF25022"/>
                </patternFill>
              </fill>
            </x14:dxf>
          </x14:cfRule>
          <x14:cfRule type="cellIs" priority="101" operator="equal" id="{EFB69BE8-0B56-4904-B24E-9F17D3C4CA78}">
            <xm:f>Data!$L$6+Data!$L$14</xm:f>
            <x14:dxf>
              <font>
                <color theme="0"/>
              </font>
              <fill>
                <patternFill>
                  <bgColor rgb="FF747474"/>
                </patternFill>
              </fill>
            </x14:dxf>
          </x14:cfRule>
          <x14:cfRule type="cellIs" priority="100" operator="equal" id="{F52B7CA6-7F6D-412C-A407-EA34C600F9FD}">
            <xm:f>Data!$L$5</xm:f>
            <x14:dxf>
              <font>
                <color theme="0"/>
              </font>
              <fill>
                <patternFill>
                  <bgColor rgb="FFF25022"/>
                </patternFill>
              </fill>
            </x14:dxf>
          </x14:cfRule>
          <x14:cfRule type="cellIs" priority="99" operator="equal" id="{EC6A10AF-274B-467F-9574-79637E2FDCB8}">
            <xm:f>Data!$L$7</xm:f>
            <x14:dxf>
              <font>
                <color theme="1"/>
              </font>
              <fill>
                <patternFill>
                  <bgColor rgb="FFFFB900"/>
                </patternFill>
              </fill>
            </x14:dxf>
          </x14:cfRule>
          <x14:cfRule type="cellIs" priority="98" operator="equal" id="{52859853-3A5D-4712-9D99-0AB010EA746B}">
            <xm:f>Data!$L$8</xm:f>
            <x14:dxf>
              <font>
                <color theme="1"/>
              </font>
              <fill>
                <patternFill>
                  <bgColor rgb="FF00A4EF"/>
                </patternFill>
              </fill>
            </x14:dxf>
          </x14:cfRule>
          <x14:cfRule type="cellIs" priority="97" operator="equal" id="{F2C409F8-FC94-4D87-8458-9D90B3AF72C8}">
            <xm:f>Data!$L$9</xm:f>
            <x14:dxf>
              <font>
                <color theme="1"/>
              </font>
              <fill>
                <patternFill>
                  <bgColor rgb="FF7FBA00"/>
                </patternFill>
              </fill>
            </x14:dxf>
          </x14:cfRule>
          <x14:cfRule type="cellIs" priority="96" operator="equal" id="{299B2F35-2779-4CC0-99C2-D2D547226B16}">
            <xm:f>Data!$L$6</xm:f>
            <x14:dxf>
              <font>
                <color theme="0"/>
              </font>
              <fill>
                <patternFill>
                  <bgColor rgb="FFF25022"/>
                </patternFill>
              </fill>
            </x14:dxf>
          </x14:cfRule>
          <x14:cfRule type="cellIs" priority="95" operator="equal" id="{75B0DC8E-79E3-4EA5-BA7F-E1062E33FBED}">
            <xm:f>Data!$L$10</xm:f>
            <x14:dxf>
              <font>
                <color theme="0"/>
              </font>
              <fill>
                <patternFill>
                  <bgColor rgb="FFF25022"/>
                </patternFill>
              </fill>
            </x14:dxf>
          </x14:cfRule>
          <xm:sqref>K13</xm:sqref>
        </x14:conditionalFormatting>
        <x14:conditionalFormatting xmlns:xm="http://schemas.microsoft.com/office/excel/2006/main">
          <x14:cfRule type="cellIs" priority="83" operator="equal" id="{7C095C1F-D73F-4F65-AA37-D07B446FB54A}">
            <xm:f>Data!$L$12</xm:f>
            <x14:dxf>
              <font>
                <color theme="0"/>
              </font>
              <fill>
                <patternFill>
                  <bgColor rgb="FFF25022"/>
                </patternFill>
              </fill>
            </x14:dxf>
          </x14:cfRule>
          <x14:cfRule type="cellIs" priority="84" operator="equal" id="{437ED5CC-DB95-49E2-8BBA-F01B89CC6D46}">
            <xm:f>Data!$L$11</xm:f>
            <x14:dxf>
              <font>
                <color theme="0"/>
              </font>
              <fill>
                <patternFill>
                  <bgColor rgb="FFF25022"/>
                </patternFill>
              </fill>
            </x14:dxf>
          </x14:cfRule>
          <x14:cfRule type="cellIs" priority="85" operator="equal" id="{9BEEE7AF-CAAB-46FF-B31B-30A2002CE94E}">
            <xm:f>Data!$L$10</xm:f>
            <x14:dxf>
              <font>
                <color theme="0"/>
              </font>
              <fill>
                <patternFill>
                  <bgColor rgb="FFF25022"/>
                </patternFill>
              </fill>
            </x14:dxf>
          </x14:cfRule>
          <x14:cfRule type="cellIs" priority="86" operator="equal" id="{E6365F7D-89FD-4D1D-9A3F-3A6DE49B11A9}">
            <xm:f>Data!$L$6</xm:f>
            <x14:dxf>
              <font>
                <color theme="0"/>
              </font>
              <fill>
                <patternFill>
                  <bgColor rgb="FFF25022"/>
                </patternFill>
              </fill>
            </x14:dxf>
          </x14:cfRule>
          <x14:cfRule type="cellIs" priority="82" operator="equal" id="{27563530-249C-4D7C-BE05-F8C364E411F5}">
            <xm:f>Data!$L$13</xm:f>
            <x14:dxf>
              <font>
                <color theme="0"/>
              </font>
              <fill>
                <patternFill>
                  <bgColor rgb="FFF25022"/>
                </patternFill>
              </fill>
            </x14:dxf>
          </x14:cfRule>
          <x14:cfRule type="cellIs" priority="87" operator="equal" id="{F4A8CF66-F677-4C0C-B287-01DD0684FE48}">
            <xm:f>Data!$L$9</xm:f>
            <x14:dxf>
              <font>
                <color theme="1"/>
              </font>
              <fill>
                <patternFill>
                  <bgColor rgb="FF7FBA00"/>
                </patternFill>
              </fill>
            </x14:dxf>
          </x14:cfRule>
          <x14:cfRule type="cellIs" priority="88" operator="equal" id="{915C3D73-AA3F-40BB-9734-56678C618F65}">
            <xm:f>Data!$L$8</xm:f>
            <x14:dxf>
              <font>
                <color theme="1"/>
              </font>
              <fill>
                <patternFill>
                  <bgColor rgb="FF00A4EF"/>
                </patternFill>
              </fill>
            </x14:dxf>
          </x14:cfRule>
          <x14:cfRule type="cellIs" priority="89" operator="equal" id="{D4E97E97-3B01-43C4-BC4E-E8F640AFD75E}">
            <xm:f>Data!$L$7</xm:f>
            <x14:dxf>
              <font>
                <color theme="1"/>
              </font>
              <fill>
                <patternFill>
                  <bgColor rgb="FFFFB900"/>
                </patternFill>
              </fill>
            </x14:dxf>
          </x14:cfRule>
          <x14:cfRule type="cellIs" priority="90" operator="equal" id="{59EC9702-7DBA-4400-9D73-B22F80860169}">
            <xm:f>Data!$L$5</xm:f>
            <x14:dxf>
              <font>
                <color theme="0"/>
              </font>
              <fill>
                <patternFill>
                  <bgColor rgb="FFF25022"/>
                </patternFill>
              </fill>
            </x14:dxf>
          </x14:cfRule>
          <x14:cfRule type="cellIs" priority="91" operator="equal" id="{21DBF058-1108-423A-9878-9C87C2D1D88F}">
            <xm:f>Data!$L$6+Data!$L$14</xm:f>
            <x14:dxf>
              <font>
                <color theme="0"/>
              </font>
              <fill>
                <patternFill>
                  <bgColor rgb="FF747474"/>
                </patternFill>
              </fill>
            </x14:dxf>
          </x14:cfRule>
          <xm:sqref>M13</xm:sqref>
        </x14:conditionalFormatting>
        <x14:conditionalFormatting xmlns:xm="http://schemas.microsoft.com/office/excel/2006/main">
          <x14:cfRule type="cellIs" priority="80" operator="equal" id="{097FF3D5-86E2-4893-B686-A945123511C9}">
            <xm:f>Data!$L$5</xm:f>
            <x14:dxf>
              <font>
                <color theme="0"/>
              </font>
              <fill>
                <patternFill>
                  <bgColor rgb="FFF25022"/>
                </patternFill>
              </fill>
            </x14:dxf>
          </x14:cfRule>
          <x14:cfRule type="cellIs" priority="81" operator="equal" id="{891C6EBF-1B23-46FC-B9B8-F22DABEB6D1B}">
            <xm:f>Data!$L$6+Data!$L$14</xm:f>
            <x14:dxf>
              <font>
                <color theme="0"/>
              </font>
              <fill>
                <patternFill>
                  <bgColor rgb="FF747474"/>
                </patternFill>
              </fill>
            </x14:dxf>
          </x14:cfRule>
          <x14:cfRule type="cellIs" priority="72" operator="equal" id="{644D8AA8-D22D-43D5-82FF-78B6B2B3DE54}">
            <xm:f>Data!$L$13</xm:f>
            <x14:dxf>
              <font>
                <color theme="0"/>
              </font>
              <fill>
                <patternFill>
                  <bgColor rgb="FFF25022"/>
                </patternFill>
              </fill>
            </x14:dxf>
          </x14:cfRule>
          <x14:cfRule type="cellIs" priority="73" operator="equal" id="{BAC9B12B-C415-4A48-A921-4112D4AF5836}">
            <xm:f>Data!$L$12</xm:f>
            <x14:dxf>
              <font>
                <color theme="0"/>
              </font>
              <fill>
                <patternFill>
                  <bgColor rgb="FFF25022"/>
                </patternFill>
              </fill>
            </x14:dxf>
          </x14:cfRule>
          <x14:cfRule type="cellIs" priority="74" operator="equal" id="{4575A729-734D-414F-8C1C-E579778A5D88}">
            <xm:f>Data!$L$11</xm:f>
            <x14:dxf>
              <font>
                <color theme="0"/>
              </font>
              <fill>
                <patternFill>
                  <bgColor rgb="FFF25022"/>
                </patternFill>
              </fill>
            </x14:dxf>
          </x14:cfRule>
          <x14:cfRule type="cellIs" priority="75" operator="equal" id="{BFAFDC65-D68E-49E0-8011-4053993700B6}">
            <xm:f>Data!$L$10</xm:f>
            <x14:dxf>
              <font>
                <color theme="0"/>
              </font>
              <fill>
                <patternFill>
                  <bgColor rgb="FFF25022"/>
                </patternFill>
              </fill>
            </x14:dxf>
          </x14:cfRule>
          <x14:cfRule type="cellIs" priority="76" operator="equal" id="{4B6EB610-5812-4A1E-9584-23E4539993A4}">
            <xm:f>Data!$L$6</xm:f>
            <x14:dxf>
              <font>
                <color theme="0"/>
              </font>
              <fill>
                <patternFill>
                  <bgColor rgb="FFF25022"/>
                </patternFill>
              </fill>
            </x14:dxf>
          </x14:cfRule>
          <x14:cfRule type="cellIs" priority="77" operator="equal" id="{0333A34B-6C57-425B-B5C2-B9E159EA1C02}">
            <xm:f>Data!$L$9</xm:f>
            <x14:dxf>
              <font>
                <color theme="1"/>
              </font>
              <fill>
                <patternFill>
                  <bgColor rgb="FF7FBA00"/>
                </patternFill>
              </fill>
            </x14:dxf>
          </x14:cfRule>
          <x14:cfRule type="cellIs" priority="78" operator="equal" id="{C933E540-AA30-4C67-940C-DEC165FF117E}">
            <xm:f>Data!$L$8</xm:f>
            <x14:dxf>
              <font>
                <color theme="1"/>
              </font>
              <fill>
                <patternFill>
                  <bgColor rgb="FF00A4EF"/>
                </patternFill>
              </fill>
            </x14:dxf>
          </x14:cfRule>
          <x14:cfRule type="cellIs" priority="79" operator="equal" id="{3BBA534D-40BF-48FD-BE9B-204BB92CA412}">
            <xm:f>Data!$L$7</xm:f>
            <x14:dxf>
              <font>
                <color theme="1"/>
              </font>
              <fill>
                <patternFill>
                  <bgColor rgb="FFFFB900"/>
                </patternFill>
              </fill>
            </x14:dxf>
          </x14:cfRule>
          <xm:sqref>O13</xm:sqref>
        </x14:conditionalFormatting>
        <x14:conditionalFormatting xmlns:xm="http://schemas.microsoft.com/office/excel/2006/main">
          <x14:cfRule type="cellIs" priority="65" operator="equal" id="{D6BBC133-ADBA-41B2-BE2C-28BCF6D5E1AF}">
            <xm:f>Data!$L$10</xm:f>
            <x14:dxf>
              <font>
                <color theme="0"/>
              </font>
              <fill>
                <patternFill>
                  <bgColor rgb="FFF25022"/>
                </patternFill>
              </fill>
            </x14:dxf>
          </x14:cfRule>
          <x14:cfRule type="cellIs" priority="71" operator="equal" id="{1FBA03D5-ECD8-4A18-89CF-ABD5CE1DF0E1}">
            <xm:f>Data!$L$6+Data!$L$14</xm:f>
            <x14:dxf>
              <font>
                <color theme="0"/>
              </font>
              <fill>
                <patternFill>
                  <bgColor rgb="FF747474"/>
                </patternFill>
              </fill>
            </x14:dxf>
          </x14:cfRule>
          <x14:cfRule type="cellIs" priority="70" operator="equal" id="{F37A11C8-BA31-44B1-B107-9219852756D1}">
            <xm:f>Data!$L$5</xm:f>
            <x14:dxf>
              <font>
                <color theme="0"/>
              </font>
              <fill>
                <patternFill>
                  <bgColor rgb="FFF25022"/>
                </patternFill>
              </fill>
            </x14:dxf>
          </x14:cfRule>
          <x14:cfRule type="cellIs" priority="69" operator="equal" id="{1A3AECB7-59EE-493A-906E-C078D8FBEF6D}">
            <xm:f>Data!$L$7</xm:f>
            <x14:dxf>
              <font>
                <color theme="1"/>
              </font>
              <fill>
                <patternFill>
                  <bgColor rgb="FFFFB900"/>
                </patternFill>
              </fill>
            </x14:dxf>
          </x14:cfRule>
          <x14:cfRule type="cellIs" priority="68" operator="equal" id="{AAA5C461-501E-4F83-900F-3BD388E7C58F}">
            <xm:f>Data!$L$8</xm:f>
            <x14:dxf>
              <font>
                <color theme="1"/>
              </font>
              <fill>
                <patternFill>
                  <bgColor rgb="FF00A4EF"/>
                </patternFill>
              </fill>
            </x14:dxf>
          </x14:cfRule>
          <x14:cfRule type="cellIs" priority="67" operator="equal" id="{A7C3C23E-12A2-4F65-AB93-2C9BDFF8E2F6}">
            <xm:f>Data!$L$9</xm:f>
            <x14:dxf>
              <font>
                <color theme="1"/>
              </font>
              <fill>
                <patternFill>
                  <bgColor rgb="FF7FBA00"/>
                </patternFill>
              </fill>
            </x14:dxf>
          </x14:cfRule>
          <x14:cfRule type="cellIs" priority="66" operator="equal" id="{EBD1F417-BCE4-4777-97D5-D1F0930C0845}">
            <xm:f>Data!$L$6</xm:f>
            <x14:dxf>
              <font>
                <color theme="0"/>
              </font>
              <fill>
                <patternFill>
                  <bgColor rgb="FFF25022"/>
                </patternFill>
              </fill>
            </x14:dxf>
          </x14:cfRule>
          <x14:cfRule type="cellIs" priority="62" operator="equal" id="{2D72AC65-A18B-46C9-A94D-F389BE622719}">
            <xm:f>Data!$L$13</xm:f>
            <x14:dxf>
              <font>
                <color theme="0"/>
              </font>
              <fill>
                <patternFill>
                  <bgColor rgb="FFF25022"/>
                </patternFill>
              </fill>
            </x14:dxf>
          </x14:cfRule>
          <x14:cfRule type="cellIs" priority="64" operator="equal" id="{28D3C1E8-2365-418B-8C6B-C860AF7F8EDF}">
            <xm:f>Data!$L$11</xm:f>
            <x14:dxf>
              <font>
                <color theme="0"/>
              </font>
              <fill>
                <patternFill>
                  <bgColor rgb="FFF25022"/>
                </patternFill>
              </fill>
            </x14:dxf>
          </x14:cfRule>
          <x14:cfRule type="cellIs" priority="63" operator="equal" id="{8F0FE15E-2BE5-480B-B908-A5AF0E93E68D}">
            <xm:f>Data!$L$12</xm:f>
            <x14:dxf>
              <font>
                <color theme="0"/>
              </font>
              <fill>
                <patternFill>
                  <bgColor rgb="FFF25022"/>
                </patternFill>
              </fill>
            </x14:dxf>
          </x14:cfRule>
          <xm:sqref>Q13</xm:sqref>
        </x14:conditionalFormatting>
        <x14:conditionalFormatting xmlns:xm="http://schemas.microsoft.com/office/excel/2006/main">
          <x14:cfRule type="cellIs" priority="56" operator="equal" id="{BD8E5496-389E-4534-A41C-987D56EA4AFD}">
            <xm:f>Data!$L$6</xm:f>
            <x14:dxf>
              <font>
                <color theme="0"/>
              </font>
              <fill>
                <patternFill>
                  <bgColor rgb="FFF25022"/>
                </patternFill>
              </fill>
            </x14:dxf>
          </x14:cfRule>
          <x14:cfRule type="cellIs" priority="61" operator="equal" id="{4CCABAA0-BEA4-46D7-B48F-283BFFE5D278}">
            <xm:f>Data!$L$6+Data!$L$14</xm:f>
            <x14:dxf>
              <font>
                <color theme="0"/>
              </font>
              <fill>
                <patternFill>
                  <bgColor rgb="FF747474"/>
                </patternFill>
              </fill>
            </x14:dxf>
          </x14:cfRule>
          <x14:cfRule type="cellIs" priority="60" operator="equal" id="{9F60EC94-DCF9-499B-9C95-D092C55F59B4}">
            <xm:f>Data!$L$5</xm:f>
            <x14:dxf>
              <font>
                <color theme="0"/>
              </font>
              <fill>
                <patternFill>
                  <bgColor rgb="FFF25022"/>
                </patternFill>
              </fill>
            </x14:dxf>
          </x14:cfRule>
          <x14:cfRule type="cellIs" priority="59" operator="equal" id="{BC076528-DDF5-434E-BD1F-11CFCBB353D3}">
            <xm:f>Data!$L$7</xm:f>
            <x14:dxf>
              <font>
                <color theme="1"/>
              </font>
              <fill>
                <patternFill>
                  <bgColor rgb="FFFFB900"/>
                </patternFill>
              </fill>
            </x14:dxf>
          </x14:cfRule>
          <x14:cfRule type="cellIs" priority="58" operator="equal" id="{6768067D-C5B4-4ECF-A370-D0B6B812FD39}">
            <xm:f>Data!$L$8</xm:f>
            <x14:dxf>
              <font>
                <color theme="1"/>
              </font>
              <fill>
                <patternFill>
                  <bgColor rgb="FF00A4EF"/>
                </patternFill>
              </fill>
            </x14:dxf>
          </x14:cfRule>
          <x14:cfRule type="cellIs" priority="57" operator="equal" id="{84EF0FA0-D26E-4128-A4CC-130CA2774316}">
            <xm:f>Data!$L$9</xm:f>
            <x14:dxf>
              <font>
                <color theme="1"/>
              </font>
              <fill>
                <patternFill>
                  <bgColor rgb="FF7FBA00"/>
                </patternFill>
              </fill>
            </x14:dxf>
          </x14:cfRule>
          <x14:cfRule type="cellIs" priority="55" operator="equal" id="{FED8630A-EE09-48F0-920E-B0488119607D}">
            <xm:f>Data!$L$10</xm:f>
            <x14:dxf>
              <font>
                <color theme="0"/>
              </font>
              <fill>
                <patternFill>
                  <bgColor rgb="FFF25022"/>
                </patternFill>
              </fill>
            </x14:dxf>
          </x14:cfRule>
          <x14:cfRule type="cellIs" priority="54" operator="equal" id="{B866E4A8-9A47-4186-AD63-B335A2C964BB}">
            <xm:f>Data!$L$11</xm:f>
            <x14:dxf>
              <font>
                <color theme="0"/>
              </font>
              <fill>
                <patternFill>
                  <bgColor rgb="FFF25022"/>
                </patternFill>
              </fill>
            </x14:dxf>
          </x14:cfRule>
          <x14:cfRule type="cellIs" priority="53" operator="equal" id="{12DAF4F2-242F-44BA-9D6C-7866C639FC8C}">
            <xm:f>Data!$L$12</xm:f>
            <x14:dxf>
              <font>
                <color theme="0"/>
              </font>
              <fill>
                <patternFill>
                  <bgColor rgb="FFF25022"/>
                </patternFill>
              </fill>
            </x14:dxf>
          </x14:cfRule>
          <x14:cfRule type="cellIs" priority="52" operator="equal" id="{81FE2FCD-DD98-46AD-9BBE-717E11B5D215}">
            <xm:f>Data!$L$13</xm:f>
            <x14:dxf>
              <font>
                <color theme="0"/>
              </font>
              <fill>
                <patternFill>
                  <bgColor rgb="FFF25022"/>
                </patternFill>
              </fill>
            </x14:dxf>
          </x14:cfRule>
          <xm:sqref>S13</xm:sqref>
        </x14:conditionalFormatting>
        <x14:conditionalFormatting xmlns:xm="http://schemas.microsoft.com/office/excel/2006/main">
          <x14:cfRule type="cellIs" priority="42" operator="equal" id="{E71D7A34-C536-4E54-8B98-5DD66574EB50}">
            <xm:f>Data!$L$13</xm:f>
            <x14:dxf>
              <font>
                <color theme="0"/>
              </font>
              <fill>
                <patternFill>
                  <bgColor rgb="FFF25022"/>
                </patternFill>
              </fill>
            </x14:dxf>
          </x14:cfRule>
          <x14:cfRule type="cellIs" priority="46" operator="equal" id="{BA8EECFD-8D7F-4E93-BA58-A0CF0D96EFAD}">
            <xm:f>Data!$L$6</xm:f>
            <x14:dxf>
              <font>
                <color theme="0"/>
              </font>
              <fill>
                <patternFill>
                  <bgColor rgb="FFF25022"/>
                </patternFill>
              </fill>
            </x14:dxf>
          </x14:cfRule>
          <x14:cfRule type="cellIs" priority="43" operator="equal" id="{B633979D-DAD1-4A22-A6A1-04EE33C7458D}">
            <xm:f>Data!$L$12</xm:f>
            <x14:dxf>
              <font>
                <color theme="0"/>
              </font>
              <fill>
                <patternFill>
                  <bgColor rgb="FFF25022"/>
                </patternFill>
              </fill>
            </x14:dxf>
          </x14:cfRule>
          <x14:cfRule type="cellIs" priority="44" operator="equal" id="{788BD31D-B3AE-454D-B918-DE7A872AA9CC}">
            <xm:f>Data!$L$11</xm:f>
            <x14:dxf>
              <font>
                <color theme="0"/>
              </font>
              <fill>
                <patternFill>
                  <bgColor rgb="FFF25022"/>
                </patternFill>
              </fill>
            </x14:dxf>
          </x14:cfRule>
          <x14:cfRule type="cellIs" priority="45" operator="equal" id="{61B57B3F-D1BD-4CFC-BADC-55A8435FA56F}">
            <xm:f>Data!$L$10</xm:f>
            <x14:dxf>
              <font>
                <color theme="0"/>
              </font>
              <fill>
                <patternFill>
                  <bgColor rgb="FFF25022"/>
                </patternFill>
              </fill>
            </x14:dxf>
          </x14:cfRule>
          <x14:cfRule type="cellIs" priority="51" operator="equal" id="{5E25EEEB-02EE-4798-99B7-C8B392F1F8A9}">
            <xm:f>Data!$L$6+Data!$L$14</xm:f>
            <x14:dxf>
              <font>
                <color theme="0"/>
              </font>
              <fill>
                <patternFill>
                  <bgColor rgb="FF747474"/>
                </patternFill>
              </fill>
            </x14:dxf>
          </x14:cfRule>
          <x14:cfRule type="cellIs" priority="50" operator="equal" id="{FC1F7BA5-B741-4E22-9AC1-07EC437B2154}">
            <xm:f>Data!$L$5</xm:f>
            <x14:dxf>
              <font>
                <color theme="0"/>
              </font>
              <fill>
                <patternFill>
                  <bgColor rgb="FFF25022"/>
                </patternFill>
              </fill>
            </x14:dxf>
          </x14:cfRule>
          <x14:cfRule type="cellIs" priority="49" operator="equal" id="{DE7D28EE-97FF-428C-9515-5FE5DDB2A802}">
            <xm:f>Data!$L$7</xm:f>
            <x14:dxf>
              <font>
                <color theme="1"/>
              </font>
              <fill>
                <patternFill>
                  <bgColor rgb="FFFFB900"/>
                </patternFill>
              </fill>
            </x14:dxf>
          </x14:cfRule>
          <x14:cfRule type="cellIs" priority="48" operator="equal" id="{81BFE840-B574-4203-8150-7C8D5272E519}">
            <xm:f>Data!$L$8</xm:f>
            <x14:dxf>
              <font>
                <color theme="1"/>
              </font>
              <fill>
                <patternFill>
                  <bgColor rgb="FF00A4EF"/>
                </patternFill>
              </fill>
            </x14:dxf>
          </x14:cfRule>
          <x14:cfRule type="cellIs" priority="47" operator="equal" id="{A3854545-96A1-4122-87BD-878146526133}">
            <xm:f>Data!$L$9</xm:f>
            <x14:dxf>
              <font>
                <color theme="1"/>
              </font>
              <fill>
                <patternFill>
                  <bgColor rgb="FF7FBA00"/>
                </patternFill>
              </fill>
            </x14:dxf>
          </x14:cfRule>
          <xm:sqref>U13</xm:sqref>
        </x14:conditionalFormatting>
        <x14:conditionalFormatting xmlns:xm="http://schemas.microsoft.com/office/excel/2006/main">
          <x14:cfRule type="cellIs" priority="41" operator="equal" id="{75EC298F-B7AE-40AA-81B8-74D8EB950BA1}">
            <xm:f>Data!$L$6+Data!$L$14</xm:f>
            <x14:dxf>
              <font>
                <color theme="0"/>
              </font>
              <fill>
                <patternFill>
                  <bgColor rgb="FF747474"/>
                </patternFill>
              </fill>
            </x14:dxf>
          </x14:cfRule>
          <x14:cfRule type="cellIs" priority="40" operator="equal" id="{23FE44E3-F311-4BB2-9941-70FEE14B73F7}">
            <xm:f>Data!$L$5</xm:f>
            <x14:dxf>
              <font>
                <color theme="0"/>
              </font>
              <fill>
                <patternFill>
                  <bgColor rgb="FFF25022"/>
                </patternFill>
              </fill>
            </x14:dxf>
          </x14:cfRule>
          <x14:cfRule type="cellIs" priority="39" operator="equal" id="{D63BD807-9A84-456F-8444-AD17EBDDCDC1}">
            <xm:f>Data!$L$7</xm:f>
            <x14:dxf>
              <font>
                <color theme="1"/>
              </font>
              <fill>
                <patternFill>
                  <bgColor rgb="FFFFB900"/>
                </patternFill>
              </fill>
            </x14:dxf>
          </x14:cfRule>
          <x14:cfRule type="cellIs" priority="38" operator="equal" id="{E9CB95FA-982F-4987-BACD-D8ECC6B4F7A9}">
            <xm:f>Data!$L$8</xm:f>
            <x14:dxf>
              <font>
                <color theme="1"/>
              </font>
              <fill>
                <patternFill>
                  <bgColor rgb="FF00A4EF"/>
                </patternFill>
              </fill>
            </x14:dxf>
          </x14:cfRule>
          <x14:cfRule type="cellIs" priority="37" operator="equal" id="{2599E243-1B20-4914-8246-3CD46B7BA05B}">
            <xm:f>Data!$L$9</xm:f>
            <x14:dxf>
              <font>
                <color theme="1"/>
              </font>
              <fill>
                <patternFill>
                  <bgColor rgb="FF7FBA00"/>
                </patternFill>
              </fill>
            </x14:dxf>
          </x14:cfRule>
          <x14:cfRule type="cellIs" priority="35" operator="equal" id="{48249013-3ED5-4E49-9864-9CC6B023D26D}">
            <xm:f>Data!$L$10</xm:f>
            <x14:dxf>
              <font>
                <color theme="0"/>
              </font>
              <fill>
                <patternFill>
                  <bgColor rgb="FFF25022"/>
                </patternFill>
              </fill>
            </x14:dxf>
          </x14:cfRule>
          <x14:cfRule type="cellIs" priority="34" operator="equal" id="{1914389D-E0C9-495D-80E6-FBCC8235852D}">
            <xm:f>Data!$L$11</xm:f>
            <x14:dxf>
              <font>
                <color theme="0"/>
              </font>
              <fill>
                <patternFill>
                  <bgColor rgb="FFF25022"/>
                </patternFill>
              </fill>
            </x14:dxf>
          </x14:cfRule>
          <x14:cfRule type="cellIs" priority="33" operator="equal" id="{0F9F5123-F969-448F-A040-D9DDF04AEF04}">
            <xm:f>Data!$L$12</xm:f>
            <x14:dxf>
              <font>
                <color theme="0"/>
              </font>
              <fill>
                <patternFill>
                  <bgColor rgb="FFF25022"/>
                </patternFill>
              </fill>
            </x14:dxf>
          </x14:cfRule>
          <x14:cfRule type="cellIs" priority="32" operator="equal" id="{B4C2EFC8-B77F-418A-A232-55ECC3009DFA}">
            <xm:f>Data!$L$13</xm:f>
            <x14:dxf>
              <font>
                <color theme="0"/>
              </font>
              <fill>
                <patternFill>
                  <bgColor rgb="FFF25022"/>
                </patternFill>
              </fill>
            </x14:dxf>
          </x14:cfRule>
          <x14:cfRule type="cellIs" priority="36" operator="equal" id="{7A4D08CC-ED08-4FE6-A586-255296B3BE17}">
            <xm:f>Data!$L$6</xm:f>
            <x14:dxf>
              <font>
                <color theme="0"/>
              </font>
              <fill>
                <patternFill>
                  <bgColor rgb="FFF25022"/>
                </patternFill>
              </fill>
            </x14:dxf>
          </x14:cfRule>
          <xm:sqref>W13</xm:sqref>
        </x14:conditionalFormatting>
        <x14:conditionalFormatting xmlns:xm="http://schemas.microsoft.com/office/excel/2006/main">
          <x14:cfRule type="cellIs" priority="31" operator="equal" id="{3439073A-7D15-4DF0-B81B-2254F002C2C6}">
            <xm:f>Data!$L$6+Data!$L$14</xm:f>
            <x14:dxf>
              <font>
                <color theme="0"/>
              </font>
              <fill>
                <patternFill>
                  <bgColor rgb="FF747474"/>
                </patternFill>
              </fill>
            </x14:dxf>
          </x14:cfRule>
          <x14:cfRule type="cellIs" priority="30" operator="equal" id="{2BEC0438-DAE9-499D-8050-2905068043E1}">
            <xm:f>Data!$L$5</xm:f>
            <x14:dxf>
              <font>
                <color theme="0"/>
              </font>
              <fill>
                <patternFill>
                  <bgColor rgb="FFF25022"/>
                </patternFill>
              </fill>
            </x14:dxf>
          </x14:cfRule>
          <x14:cfRule type="cellIs" priority="29" operator="equal" id="{25144F44-683E-4C21-94CB-9E735AAD3FFE}">
            <xm:f>Data!$L$7</xm:f>
            <x14:dxf>
              <font>
                <color theme="1"/>
              </font>
              <fill>
                <patternFill>
                  <bgColor rgb="FFFFB900"/>
                </patternFill>
              </fill>
            </x14:dxf>
          </x14:cfRule>
          <x14:cfRule type="cellIs" priority="28" operator="equal" id="{7AD34684-2E4F-4B44-B0BC-0B6C23B6D6BB}">
            <xm:f>Data!$L$8</xm:f>
            <x14:dxf>
              <font>
                <color theme="1"/>
              </font>
              <fill>
                <patternFill>
                  <bgColor rgb="FF00A4EF"/>
                </patternFill>
              </fill>
            </x14:dxf>
          </x14:cfRule>
          <x14:cfRule type="cellIs" priority="27" operator="equal" id="{E417DC1B-95ED-4E4E-ABEE-7A697EE5B9E3}">
            <xm:f>Data!$L$9</xm:f>
            <x14:dxf>
              <font>
                <color theme="1"/>
              </font>
              <fill>
                <patternFill>
                  <bgColor rgb="FF7FBA00"/>
                </patternFill>
              </fill>
            </x14:dxf>
          </x14:cfRule>
          <x14:cfRule type="cellIs" priority="26" operator="equal" id="{CF9C6DE3-6926-4E4D-9672-9983A7E7555B}">
            <xm:f>Data!$L$6</xm:f>
            <x14:dxf>
              <font>
                <color theme="0"/>
              </font>
              <fill>
                <patternFill>
                  <bgColor rgb="FFF25022"/>
                </patternFill>
              </fill>
            </x14:dxf>
          </x14:cfRule>
          <x14:cfRule type="cellIs" priority="25" operator="equal" id="{527675CB-6A6E-4D8E-96C3-9495DAAB2D9A}">
            <xm:f>Data!$L$10</xm:f>
            <x14:dxf>
              <font>
                <color theme="0"/>
              </font>
              <fill>
                <patternFill>
                  <bgColor rgb="FFF25022"/>
                </patternFill>
              </fill>
            </x14:dxf>
          </x14:cfRule>
          <x14:cfRule type="cellIs" priority="24" operator="equal" id="{E1B8DBE8-1CEC-465A-8A63-93EABA0C9366}">
            <xm:f>Data!$L$11</xm:f>
            <x14:dxf>
              <font>
                <color theme="0"/>
              </font>
              <fill>
                <patternFill>
                  <bgColor rgb="FFF25022"/>
                </patternFill>
              </fill>
            </x14:dxf>
          </x14:cfRule>
          <x14:cfRule type="cellIs" priority="23" operator="equal" id="{7D1370E2-23E5-4E5B-A3A4-4B0E9B17EB31}">
            <xm:f>Data!$L$12</xm:f>
            <x14:dxf>
              <font>
                <color theme="0"/>
              </font>
              <fill>
                <patternFill>
                  <bgColor rgb="FFF25022"/>
                </patternFill>
              </fill>
            </x14:dxf>
          </x14:cfRule>
          <x14:cfRule type="cellIs" priority="22" operator="equal" id="{0F877FD3-BDCD-4F19-9861-8DD0685B9B23}">
            <xm:f>Data!$L$13</xm:f>
            <x14:dxf>
              <font>
                <color theme="0"/>
              </font>
              <fill>
                <patternFill>
                  <bgColor rgb="FFF25022"/>
                </patternFill>
              </fill>
            </x14:dxf>
          </x14:cfRule>
          <xm:sqref>Y13</xm:sqref>
        </x14:conditionalFormatting>
        <x14:conditionalFormatting xmlns:xm="http://schemas.microsoft.com/office/excel/2006/main">
          <x14:cfRule type="cellIs" priority="16" operator="equal" id="{A6D49BD7-FFCF-49F6-8FD5-4EFF6677B429}">
            <xm:f>Data!$L$6</xm:f>
            <x14:dxf>
              <font>
                <color theme="0"/>
              </font>
              <fill>
                <patternFill>
                  <bgColor rgb="FFF25022"/>
                </patternFill>
              </fill>
            </x14:dxf>
          </x14:cfRule>
          <x14:cfRule type="cellIs" priority="15" operator="equal" id="{0A4D6A2A-BF41-4337-A696-A29B205338BA}">
            <xm:f>Data!$L$10</xm:f>
            <x14:dxf>
              <font>
                <color theme="0"/>
              </font>
              <fill>
                <patternFill>
                  <bgColor rgb="FFF25022"/>
                </patternFill>
              </fill>
            </x14:dxf>
          </x14:cfRule>
          <x14:cfRule type="cellIs" priority="13" operator="equal" id="{F2EBF38E-6BCE-4739-9385-287E8138AB55}">
            <xm:f>Data!$L$12</xm:f>
            <x14:dxf>
              <font>
                <color theme="0"/>
              </font>
              <fill>
                <patternFill>
                  <bgColor rgb="FFF25022"/>
                </patternFill>
              </fill>
            </x14:dxf>
          </x14:cfRule>
          <x14:cfRule type="cellIs" priority="14" operator="equal" id="{93A99620-E681-4885-B5F2-EEC7E605382D}">
            <xm:f>Data!$L$11</xm:f>
            <x14:dxf>
              <font>
                <color theme="0"/>
              </font>
              <fill>
                <patternFill>
                  <bgColor rgb="FFF25022"/>
                </patternFill>
              </fill>
            </x14:dxf>
          </x14:cfRule>
          <x14:cfRule type="cellIs" priority="19" operator="equal" id="{5F5E58C0-909D-406F-B534-D1C280D8DD66}">
            <xm:f>Data!$L$7</xm:f>
            <x14:dxf>
              <font>
                <color theme="1"/>
              </font>
              <fill>
                <patternFill>
                  <bgColor rgb="FFFFB900"/>
                </patternFill>
              </fill>
            </x14:dxf>
          </x14:cfRule>
          <x14:cfRule type="cellIs" priority="21" operator="equal" id="{A31E7C08-6348-4456-8629-0D3683D42A8E}">
            <xm:f>Data!$L$6+Data!$L$14</xm:f>
            <x14:dxf>
              <font>
                <color theme="0"/>
              </font>
              <fill>
                <patternFill>
                  <bgColor rgb="FF747474"/>
                </patternFill>
              </fill>
            </x14:dxf>
          </x14:cfRule>
          <x14:cfRule type="cellIs" priority="20" operator="equal" id="{D29842A8-1A69-44A2-B006-711ADA393B84}">
            <xm:f>Data!$L$5</xm:f>
            <x14:dxf>
              <font>
                <color theme="0"/>
              </font>
              <fill>
                <patternFill>
                  <bgColor rgb="FFF25022"/>
                </patternFill>
              </fill>
            </x14:dxf>
          </x14:cfRule>
          <x14:cfRule type="cellIs" priority="18" operator="equal" id="{61485376-23F9-4472-9884-09F06C55CB0C}">
            <xm:f>Data!$L$8</xm:f>
            <x14:dxf>
              <font>
                <color theme="1"/>
              </font>
              <fill>
                <patternFill>
                  <bgColor rgb="FF00A4EF"/>
                </patternFill>
              </fill>
            </x14:dxf>
          </x14:cfRule>
          <x14:cfRule type="cellIs" priority="17" operator="equal" id="{9EA92B02-3EEC-4E96-83C0-41DCAD886825}">
            <xm:f>Data!$L$9</xm:f>
            <x14:dxf>
              <font>
                <color theme="1"/>
              </font>
              <fill>
                <patternFill>
                  <bgColor rgb="FF7FBA00"/>
                </patternFill>
              </fill>
            </x14:dxf>
          </x14:cfRule>
          <x14:cfRule type="cellIs" priority="12" operator="equal" id="{622021EF-60C8-4091-A05A-F3908FB08C74}">
            <xm:f>Data!$L$13</xm:f>
            <x14:dxf>
              <font>
                <color theme="0"/>
              </font>
              <fill>
                <patternFill>
                  <bgColor rgb="FFF25022"/>
                </patternFill>
              </fill>
            </x14:dxf>
          </x14:cfRule>
          <xm:sqref>AA13</xm:sqref>
        </x14:conditionalFormatting>
      </x14:conditionalFormattings>
    </ext>
    <ext xmlns:x14="http://schemas.microsoft.com/office/spreadsheetml/2009/9/main" uri="{CCE6A557-97BC-4b89-ADB6-D9C93CAAB3DF}">
      <x14:dataValidations xmlns:xm="http://schemas.microsoft.com/office/excel/2006/main" count="8">
        <x14:dataValidation type="list" allowBlank="1" showInputMessage="1" showErrorMessage="1" xr:uid="{9CB89924-71FD-4D17-AA45-F304C2F7FE3E}">
          <x14:formula1>
            <xm:f>Data!$F$27:$F$28</xm:f>
          </x14:formula1>
          <xm:sqref>E25 AA25 Y25 W25 U25 S25 Q25 O25 M25 K25 I25 G25</xm:sqref>
        </x14:dataValidation>
        <x14:dataValidation type="list" allowBlank="1" showInputMessage="1" showErrorMessage="1" xr:uid="{E805CD3E-B45D-48D8-8F25-7317E7E9387F}">
          <x14:formula1>
            <xm:f>Data!$F$9:$F$13</xm:f>
          </x14:formula1>
          <xm:sqref>E47 AA47 Y47 W47 U47 S47 Q47 O47 M47 K47 I47 G47</xm:sqref>
        </x14:dataValidation>
        <x14:dataValidation type="list" allowBlank="1" showInputMessage="1" showErrorMessage="1" xr:uid="{446398F1-93CD-4FB6-9B9E-45771E980B03}">
          <x14:formula1>
            <xm:f>Data!$F$16:$F$24</xm:f>
          </x14:formula1>
          <xm:sqref>E44 AA44 Y44 W44 U44 S44 Q44 O44 M44 K44 I44 G44</xm:sqref>
        </x14:dataValidation>
        <x14:dataValidation type="list" allowBlank="1" showInputMessage="1" showErrorMessage="1" xr:uid="{3F95B113-254E-48BF-B85E-19E843EAA27F}">
          <x14:formula1>
            <xm:f>Data!$C$31:$C$33</xm:f>
          </x14:formula1>
          <xm:sqref>E19 AA19 Y19 W19 U19 S19 Q19 O19 M19 K19 I19 G19</xm:sqref>
        </x14:dataValidation>
        <x14:dataValidation type="list" allowBlank="1" showInputMessage="1" showErrorMessage="1" xr:uid="{6C904966-5682-4E4F-8852-A2ED022907A3}">
          <x14:formula1>
            <xm:f>Data!$C$22:$C$28</xm:f>
          </x14:formula1>
          <xm:sqref>E18 Q18 Y18 W18 U18 S18 O18 M18 K18 AA18 I18 G18</xm:sqref>
        </x14:dataValidation>
        <x14:dataValidation type="list" allowBlank="1" showInputMessage="1" showErrorMessage="1" xr:uid="{4A9F725F-D348-42EF-8459-024496CECEFA}">
          <x14:formula1>
            <xm:f>Data!$L$5:$L$14</xm:f>
          </x14:formula1>
          <xm:sqref>E13 G13 I13 K13 M13 O13 Q13 S13 U13 W13 Y13 AA13</xm:sqref>
        </x14:dataValidation>
        <x14:dataValidation type="list" allowBlank="1" showInputMessage="1" showErrorMessage="1" xr:uid="{EB63DD4B-F4AA-46FA-B8D9-9048AAB98A4F}">
          <x14:formula1>
            <xm:f>Data!$F$5:$F$6</xm:f>
          </x14:formula1>
          <xm:sqref>E46 E49 G46 G49 I46 AA46 Y49 I49 K46 K49 M46 M49 O46 O49 Q46 Q49 S46 S49 U46 U49 W46 W49 Y46 AA49</xm:sqref>
        </x14:dataValidation>
        <x14:dataValidation type="list" allowBlank="1" showInputMessage="1" showErrorMessage="1" xr:uid="{84649C4B-27F2-4FD0-8AE7-08799F9FA6D1}">
          <x14:formula1>
            <xm:f>Data!$J$16:$J$23</xm:f>
          </x14:formula1>
          <xm:sqref>E22 Y22 I22 K22 G22 M22 O22 Q22 S22 U22 W22 AA22 AA59:AA62 W59:W62 Y59:Y62 S59:S62 U59:U62 Q59:Q62 O59:O62 M59:M62 I59:I62 K59:K62 G59:G62 E59:E62</xm:sqref>
        </x14:dataValidation>
      </x14:dataValidations>
    </ext>
  </extLst>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C90B8A-F146-4E30-96B7-65B4AF53AFD9}">
  <sheetPr>
    <tabColor rgb="FF737373"/>
  </sheetPr>
  <dimension ref="A1:M30"/>
  <sheetViews>
    <sheetView showGridLines="0" showRowColHeaders="0" zoomScaleNormal="100" workbookViewId="0">
      <selection activeCell="A22" sqref="A22"/>
    </sheetView>
  </sheetViews>
  <sheetFormatPr defaultColWidth="0" defaultRowHeight="14.45" customHeight="1" zeroHeight="1" outlineLevelRow="1"/>
  <cols>
    <col min="1" max="2" width="5.85546875" customWidth="1"/>
    <col min="3" max="3" width="3.85546875" customWidth="1"/>
    <col min="4" max="4" width="38.42578125" bestFit="1" customWidth="1"/>
    <col min="5" max="5" width="57.140625" bestFit="1" customWidth="1"/>
    <col min="6" max="6" width="16.85546875" bestFit="1" customWidth="1"/>
    <col min="7" max="7" width="14.140625" bestFit="1" customWidth="1"/>
    <col min="8" max="8" width="14.140625" customWidth="1"/>
    <col min="9" max="9" width="23.42578125" bestFit="1" customWidth="1"/>
    <col min="10" max="10" width="9.140625" bestFit="1" customWidth="1"/>
    <col min="11" max="11" width="27.42578125" bestFit="1" customWidth="1"/>
    <col min="12" max="13" width="3.85546875" customWidth="1"/>
    <col min="14" max="16384" width="63.42578125" hidden="1"/>
  </cols>
  <sheetData>
    <row r="1" spans="1:13">
      <c r="A1" s="4"/>
      <c r="B1" s="4"/>
      <c r="C1" s="4"/>
      <c r="D1" s="4"/>
      <c r="E1" s="4"/>
      <c r="F1" s="4"/>
      <c r="G1" s="4"/>
      <c r="H1" s="4"/>
      <c r="I1" s="4"/>
      <c r="J1" s="4"/>
      <c r="K1" s="4"/>
      <c r="L1" s="4"/>
      <c r="M1" s="4"/>
    </row>
    <row r="2" spans="1:13" ht="21">
      <c r="A2" s="4"/>
      <c r="B2" s="4"/>
      <c r="C2" s="618" t="s">
        <v>2078</v>
      </c>
      <c r="D2" s="618"/>
      <c r="E2" s="618"/>
      <c r="F2" s="618"/>
      <c r="G2" s="618"/>
      <c r="H2" s="618"/>
      <c r="I2" s="618"/>
      <c r="J2" s="618"/>
      <c r="K2" s="618"/>
      <c r="L2" s="618"/>
      <c r="M2" s="4"/>
    </row>
    <row r="3" spans="1:13" ht="14.45" customHeight="1">
      <c r="A3" s="4"/>
      <c r="B3" s="4"/>
      <c r="C3" s="646" t="s">
        <v>2079</v>
      </c>
      <c r="D3" s="646"/>
      <c r="E3" s="646"/>
      <c r="F3" s="646"/>
      <c r="G3" s="646"/>
      <c r="H3" s="646"/>
      <c r="I3" s="646"/>
      <c r="J3" s="646"/>
      <c r="K3" s="646"/>
      <c r="L3" s="646"/>
      <c r="M3" s="4"/>
    </row>
    <row r="4" spans="1:13" ht="14.45" customHeight="1">
      <c r="A4" s="4"/>
      <c r="B4" s="4"/>
      <c r="C4" s="4"/>
      <c r="D4" s="4"/>
      <c r="E4" s="4"/>
      <c r="F4" s="4"/>
      <c r="G4" s="4"/>
      <c r="H4" s="4"/>
      <c r="I4" s="4"/>
      <c r="J4" s="4"/>
      <c r="K4" s="4"/>
      <c r="L4" s="4"/>
      <c r="M4" s="4"/>
    </row>
    <row r="5" spans="1:13" ht="14.45" customHeight="1">
      <c r="A5" s="4"/>
      <c r="B5" s="4"/>
      <c r="C5" s="7"/>
      <c r="D5" s="54"/>
      <c r="E5" s="54"/>
      <c r="F5" s="54"/>
      <c r="G5" s="54"/>
      <c r="H5" s="54"/>
      <c r="I5" s="54"/>
      <c r="J5" s="54"/>
      <c r="K5" s="54"/>
      <c r="L5" s="54"/>
      <c r="M5" s="8"/>
    </row>
    <row r="6" spans="1:13" ht="14.45" customHeight="1">
      <c r="A6" s="4"/>
      <c r="B6" s="4"/>
      <c r="C6" s="7"/>
      <c r="D6" s="140" t="s">
        <v>299</v>
      </c>
      <c r="E6" s="209"/>
      <c r="F6" s="241"/>
      <c r="G6" s="241"/>
      <c r="H6" s="241"/>
      <c r="I6" s="54"/>
      <c r="J6" s="54"/>
      <c r="K6" s="54"/>
      <c r="L6" s="54"/>
      <c r="M6" s="8"/>
    </row>
    <row r="7" spans="1:13" ht="14.45" customHeight="1">
      <c r="A7" s="4"/>
      <c r="B7" s="4"/>
      <c r="C7" s="7"/>
      <c r="D7" s="142" t="s">
        <v>300</v>
      </c>
      <c r="E7" s="210"/>
      <c r="F7" s="241"/>
      <c r="G7" s="241"/>
      <c r="H7" s="241"/>
      <c r="I7" s="54"/>
      <c r="J7" s="54"/>
      <c r="K7" s="54"/>
      <c r="L7" s="54"/>
      <c r="M7" s="8"/>
    </row>
    <row r="8" spans="1:13" ht="14.45" customHeight="1">
      <c r="A8" s="4"/>
      <c r="B8" s="4"/>
      <c r="C8" s="7"/>
      <c r="D8" s="142" t="s">
        <v>301</v>
      </c>
      <c r="E8" s="210"/>
      <c r="F8" s="241"/>
      <c r="G8" s="241"/>
      <c r="H8" s="241"/>
      <c r="I8" s="54"/>
      <c r="J8" s="54"/>
      <c r="K8" s="54"/>
      <c r="L8" s="54"/>
      <c r="M8" s="8"/>
    </row>
    <row r="9" spans="1:13" ht="14.45" customHeight="1">
      <c r="A9" s="4"/>
      <c r="B9" s="4"/>
      <c r="C9" s="7"/>
      <c r="D9" s="144" t="s">
        <v>0</v>
      </c>
      <c r="E9" s="211"/>
      <c r="F9" s="241"/>
      <c r="G9" s="241"/>
      <c r="H9" s="241"/>
      <c r="I9" s="54"/>
      <c r="J9" s="54"/>
      <c r="K9" s="54"/>
      <c r="L9" s="54"/>
      <c r="M9" s="8"/>
    </row>
    <row r="10" spans="1:13" ht="14.45" customHeight="1">
      <c r="A10" s="4"/>
      <c r="B10" s="4"/>
      <c r="C10" s="7"/>
      <c r="D10" s="7"/>
      <c r="E10" s="7"/>
      <c r="F10" s="241"/>
      <c r="G10" s="241"/>
      <c r="H10" s="241"/>
      <c r="I10" s="54"/>
      <c r="J10" s="54"/>
      <c r="K10" s="54"/>
      <c r="L10" s="54"/>
      <c r="M10" s="8"/>
    </row>
    <row r="11" spans="1:13" ht="14.45" customHeight="1">
      <c r="A11" s="4"/>
      <c r="B11" s="4"/>
      <c r="C11" s="4"/>
      <c r="D11" s="4"/>
      <c r="E11" s="4"/>
      <c r="F11" s="4"/>
      <c r="G11" s="4"/>
      <c r="H11" s="4"/>
      <c r="I11" s="4"/>
      <c r="J11" s="4"/>
      <c r="K11" s="4"/>
      <c r="L11" s="4"/>
      <c r="M11" s="4"/>
    </row>
    <row r="12" spans="1:13" ht="14.45" customHeight="1">
      <c r="A12" s="4"/>
      <c r="B12" s="4"/>
      <c r="C12" s="7" t="s">
        <v>2080</v>
      </c>
      <c r="D12" s="7"/>
      <c r="E12" s="7"/>
      <c r="F12" s="7"/>
      <c r="G12" s="7"/>
      <c r="H12" s="7"/>
      <c r="I12" s="7"/>
      <c r="J12" s="7"/>
      <c r="K12" s="7"/>
      <c r="L12" s="7"/>
      <c r="M12" s="4"/>
    </row>
    <row r="13" spans="1:13" ht="14.45" customHeight="1">
      <c r="A13" s="4"/>
      <c r="B13" s="4"/>
      <c r="C13" s="7" t="s">
        <v>1640</v>
      </c>
      <c r="D13" s="7"/>
      <c r="E13" s="7"/>
      <c r="F13" s="7"/>
      <c r="G13" s="7"/>
      <c r="H13" s="7"/>
      <c r="I13" s="7"/>
      <c r="J13" s="7"/>
      <c r="K13" s="7"/>
      <c r="L13" s="7"/>
      <c r="M13" s="4"/>
    </row>
    <row r="14" spans="1:13" ht="14.45" customHeight="1">
      <c r="A14" s="4"/>
      <c r="B14" s="4"/>
      <c r="C14" s="7" t="s">
        <v>1641</v>
      </c>
      <c r="D14" s="7"/>
      <c r="E14" s="7"/>
      <c r="F14" s="7"/>
      <c r="G14" s="7"/>
      <c r="H14" s="7"/>
      <c r="I14" s="7"/>
      <c r="J14" s="7"/>
      <c r="K14" s="7"/>
      <c r="L14" s="7"/>
      <c r="M14" s="4"/>
    </row>
    <row r="15" spans="1:13" ht="14.45" customHeight="1">
      <c r="A15" s="4"/>
      <c r="B15" s="4"/>
      <c r="C15" s="7" t="s">
        <v>1642</v>
      </c>
      <c r="D15" s="7"/>
      <c r="E15" s="7"/>
      <c r="F15" s="7"/>
      <c r="G15" s="7"/>
      <c r="H15" s="7"/>
      <c r="I15" s="7"/>
      <c r="J15" s="7"/>
      <c r="K15" s="7"/>
      <c r="L15" s="7"/>
      <c r="M15" s="4"/>
    </row>
    <row r="16" spans="1:13" ht="14.45" customHeight="1">
      <c r="A16" s="4"/>
      <c r="B16" s="4"/>
      <c r="C16" s="7" t="s">
        <v>1643</v>
      </c>
      <c r="D16" s="7"/>
      <c r="E16" s="7"/>
      <c r="F16" s="7"/>
      <c r="G16" s="7"/>
      <c r="H16" s="7"/>
      <c r="I16" s="7"/>
      <c r="J16" s="7"/>
      <c r="K16" s="7"/>
      <c r="L16" s="7"/>
      <c r="M16" s="4"/>
    </row>
    <row r="17" spans="1:13" ht="14.45" customHeight="1">
      <c r="A17" s="4"/>
      <c r="B17" s="4"/>
      <c r="C17" s="4"/>
      <c r="D17" s="4"/>
      <c r="E17" s="4"/>
      <c r="F17" s="4"/>
      <c r="G17" s="4"/>
      <c r="H17" s="4"/>
      <c r="I17" s="4"/>
      <c r="J17" s="4"/>
      <c r="K17" s="4"/>
      <c r="L17" s="4"/>
      <c r="M17" s="4"/>
    </row>
    <row r="18" spans="1:13" s="123" customFormat="1" ht="14.45" customHeight="1">
      <c r="A18" s="102"/>
      <c r="B18" s="102"/>
      <c r="C18" s="102" t="s">
        <v>2081</v>
      </c>
      <c r="D18" s="102"/>
      <c r="E18" s="102"/>
      <c r="F18" s="102"/>
      <c r="G18" s="102"/>
      <c r="H18" s="102"/>
      <c r="I18" s="102"/>
      <c r="J18" s="102"/>
      <c r="K18" s="102"/>
      <c r="L18" s="102"/>
      <c r="M18" s="102"/>
    </row>
    <row r="19" spans="1:13" ht="14.45" customHeight="1" outlineLevel="1">
      <c r="A19" s="4"/>
      <c r="B19" s="4"/>
      <c r="C19" s="4"/>
      <c r="D19" s="4"/>
      <c r="E19" s="4"/>
      <c r="F19" s="4"/>
      <c r="G19" s="4"/>
      <c r="H19" s="4"/>
      <c r="I19" s="4"/>
      <c r="J19" s="4"/>
      <c r="K19" s="4"/>
      <c r="L19" s="4"/>
      <c r="M19" s="4"/>
    </row>
    <row r="20" spans="1:13" ht="14.45" customHeight="1" outlineLevel="1">
      <c r="A20" s="4"/>
      <c r="B20" s="4"/>
      <c r="C20" s="85"/>
      <c r="D20" s="85"/>
      <c r="E20" s="85"/>
      <c r="F20" s="85"/>
      <c r="G20" s="85"/>
      <c r="H20" s="85"/>
      <c r="I20" s="85"/>
      <c r="J20" s="85"/>
      <c r="K20" s="85"/>
      <c r="L20" s="85"/>
      <c r="M20" s="4"/>
    </row>
    <row r="21" spans="1:13" ht="14.45" customHeight="1" outlineLevel="1">
      <c r="A21" s="4"/>
      <c r="B21" s="4"/>
      <c r="C21" s="85"/>
      <c r="D21" s="16" t="s">
        <v>1645</v>
      </c>
      <c r="E21" s="16" t="s">
        <v>474</v>
      </c>
      <c r="F21" s="16" t="s">
        <v>1646</v>
      </c>
      <c r="G21" s="16" t="s">
        <v>1647</v>
      </c>
      <c r="H21" s="16" t="s">
        <v>1648</v>
      </c>
      <c r="I21" s="16" t="s">
        <v>1649</v>
      </c>
      <c r="J21" s="16" t="s">
        <v>1170</v>
      </c>
      <c r="K21" s="16" t="s">
        <v>1650</v>
      </c>
      <c r="L21" s="85"/>
      <c r="M21" s="4"/>
    </row>
    <row r="22" spans="1:13" ht="57.95" outlineLevel="1">
      <c r="A22" s="4"/>
      <c r="B22" s="4"/>
      <c r="C22" s="85"/>
      <c r="D22" s="16" t="s">
        <v>136</v>
      </c>
      <c r="E22" s="18" t="s">
        <v>2082</v>
      </c>
      <c r="F22" s="16" t="s">
        <v>1660</v>
      </c>
      <c r="G22" s="16"/>
      <c r="H22" s="16"/>
      <c r="I22" s="206">
        <v>44986</v>
      </c>
      <c r="J22" s="206" t="s">
        <v>1652</v>
      </c>
      <c r="K22" s="206">
        <f t="shared" ref="K22:K28" si="0">DATE(YEAR(I22),MONTH(I22)+6,DAY(I22))</f>
        <v>45170</v>
      </c>
      <c r="L22" s="85"/>
      <c r="M22" s="4"/>
    </row>
    <row r="23" spans="1:13" ht="43.5" outlineLevel="1">
      <c r="A23" s="4"/>
      <c r="B23" s="4"/>
      <c r="C23" s="85"/>
      <c r="D23" s="16" t="s">
        <v>2083</v>
      </c>
      <c r="E23" s="18" t="s">
        <v>2084</v>
      </c>
      <c r="F23" s="16" t="s">
        <v>1570</v>
      </c>
      <c r="G23" s="16"/>
      <c r="H23" s="16"/>
      <c r="I23" s="206">
        <v>44987</v>
      </c>
      <c r="J23" s="206" t="s">
        <v>1652</v>
      </c>
      <c r="K23" s="206">
        <f t="shared" si="0"/>
        <v>45171</v>
      </c>
      <c r="L23" s="85"/>
      <c r="M23" s="4"/>
    </row>
    <row r="24" spans="1:13" outlineLevel="1">
      <c r="A24" s="4"/>
      <c r="B24" s="4"/>
      <c r="C24" s="85"/>
      <c r="D24" s="16" t="s">
        <v>2085</v>
      </c>
      <c r="E24" s="18"/>
      <c r="F24" s="16" t="s">
        <v>1570</v>
      </c>
      <c r="G24" s="16"/>
      <c r="H24" s="16"/>
      <c r="I24" s="206">
        <v>44988</v>
      </c>
      <c r="J24" s="206" t="s">
        <v>1652</v>
      </c>
      <c r="K24" s="206">
        <f t="shared" si="0"/>
        <v>45172</v>
      </c>
      <c r="L24" s="85"/>
      <c r="M24" s="4"/>
    </row>
    <row r="25" spans="1:13" ht="14.45" customHeight="1" outlineLevel="1">
      <c r="A25" s="4"/>
      <c r="B25" s="4"/>
      <c r="C25" s="85"/>
      <c r="D25" s="16" t="s">
        <v>1666</v>
      </c>
      <c r="E25" s="18"/>
      <c r="F25" s="16" t="s">
        <v>413</v>
      </c>
      <c r="G25" s="16"/>
      <c r="H25" s="16"/>
      <c r="I25" s="206">
        <v>44989</v>
      </c>
      <c r="J25" s="206" t="s">
        <v>1652</v>
      </c>
      <c r="K25" s="206">
        <f t="shared" si="0"/>
        <v>45173</v>
      </c>
      <c r="L25" s="85"/>
      <c r="M25" s="4"/>
    </row>
    <row r="26" spans="1:13" outlineLevel="1">
      <c r="A26" s="4"/>
      <c r="B26" s="4"/>
      <c r="C26" s="85"/>
      <c r="D26" s="16" t="s">
        <v>2086</v>
      </c>
      <c r="E26" s="18"/>
      <c r="F26" s="16" t="s">
        <v>413</v>
      </c>
      <c r="G26" s="16"/>
      <c r="H26" s="16"/>
      <c r="I26" s="206">
        <v>44990</v>
      </c>
      <c r="J26" s="206" t="s">
        <v>1652</v>
      </c>
      <c r="K26" s="206">
        <f t="shared" si="0"/>
        <v>45174</v>
      </c>
      <c r="L26" s="85"/>
      <c r="M26" s="4"/>
    </row>
    <row r="27" spans="1:13" outlineLevel="1">
      <c r="A27" s="4"/>
      <c r="B27" s="4"/>
      <c r="C27" s="85"/>
      <c r="D27" s="16" t="s">
        <v>293</v>
      </c>
      <c r="E27" s="18"/>
      <c r="F27" s="16" t="s">
        <v>413</v>
      </c>
      <c r="G27" s="16"/>
      <c r="H27" s="16"/>
      <c r="I27" s="206">
        <v>44991</v>
      </c>
      <c r="J27" s="206" t="s">
        <v>1652</v>
      </c>
      <c r="K27" s="206">
        <f t="shared" si="0"/>
        <v>45175</v>
      </c>
      <c r="L27" s="85"/>
      <c r="M27" s="4"/>
    </row>
    <row r="28" spans="1:13" ht="29.1" outlineLevel="1">
      <c r="A28" s="4"/>
      <c r="B28" s="4"/>
      <c r="C28" s="85"/>
      <c r="D28" s="16" t="s">
        <v>2087</v>
      </c>
      <c r="E28" s="18" t="s">
        <v>2088</v>
      </c>
      <c r="F28" s="16" t="s">
        <v>413</v>
      </c>
      <c r="G28" s="16"/>
      <c r="H28" s="16"/>
      <c r="I28" s="206">
        <v>44992</v>
      </c>
      <c r="J28" s="206" t="s">
        <v>1652</v>
      </c>
      <c r="K28" s="206">
        <f t="shared" si="0"/>
        <v>45176</v>
      </c>
      <c r="L28" s="85"/>
      <c r="M28" s="4"/>
    </row>
    <row r="29" spans="1:13" ht="14.45" customHeight="1" outlineLevel="1">
      <c r="A29" s="4"/>
      <c r="B29" s="4"/>
      <c r="C29" s="7"/>
      <c r="D29" s="7"/>
      <c r="E29" s="7"/>
      <c r="F29" s="7"/>
      <c r="G29" s="7"/>
      <c r="H29" s="7"/>
      <c r="I29" s="7"/>
      <c r="J29" s="7"/>
      <c r="K29" s="7"/>
      <c r="L29" s="7"/>
      <c r="M29" s="4"/>
    </row>
    <row r="30" spans="1:13" ht="14.45" customHeight="1">
      <c r="A30" s="4"/>
      <c r="B30" s="4"/>
      <c r="C30" s="4"/>
      <c r="D30" s="4"/>
      <c r="E30" s="4"/>
      <c r="F30" s="4"/>
      <c r="G30" s="4"/>
      <c r="H30" s="4"/>
      <c r="I30" s="4"/>
      <c r="J30" s="4"/>
      <c r="K30" s="4"/>
      <c r="L30" s="4"/>
      <c r="M30" s="4"/>
    </row>
  </sheetData>
  <mergeCells count="2">
    <mergeCell ref="C2:L2"/>
    <mergeCell ref="C3:L3"/>
  </mergeCells>
  <phoneticPr fontId="65"/>
  <pageMargins left="0.7" right="0.7" top="0.75" bottom="0.75" header="0.3" footer="0.3"/>
  <pageSetup orientation="portrait" r:id="rId1"/>
  <drawing r:id="rId2"/>
  <tableParts count="1">
    <tablePart r:id="rId3"/>
  </tableParts>
  <extLst>
    <ext xmlns:x14="http://schemas.microsoft.com/office/spreadsheetml/2009/9/main" uri="{CCE6A557-97BC-4b89-ADB6-D9C93CAAB3DF}">
      <x14:dataValidations xmlns:xm="http://schemas.microsoft.com/office/excel/2006/main" count="1">
        <x14:dataValidation type="list" allowBlank="1" showInputMessage="1" showErrorMessage="1" xr:uid="{7A9D4B7D-762E-4C76-B1FC-660E0C701665}">
          <x14:formula1>
            <xm:f>Data!$J$16:$J$24</xm:f>
          </x14:formula1>
          <xm:sqref>F22:F28</xm:sqref>
        </x14:dataValidation>
      </x14:dataValidations>
    </ext>
  </extLst>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D7F90-8650-4B61-B513-E020E81A54CC}">
  <dimension ref="A1:H70"/>
  <sheetViews>
    <sheetView showGridLines="0" showRowColHeaders="0" zoomScaleNormal="100" workbookViewId="0"/>
  </sheetViews>
  <sheetFormatPr defaultColWidth="0" defaultRowHeight="14.45" zeroHeight="1"/>
  <cols>
    <col min="1" max="2" width="5.85546875" customWidth="1"/>
    <col min="3" max="3" width="124.5703125" customWidth="1"/>
    <col min="4" max="4" width="52.85546875" bestFit="1" customWidth="1"/>
    <col min="5" max="5" width="3.85546875" customWidth="1"/>
    <col min="6" max="8" width="0" hidden="1" customWidth="1"/>
    <col min="9" max="16384" width="8.85546875" hidden="1"/>
  </cols>
  <sheetData>
    <row r="1" spans="1:5">
      <c r="A1" s="4"/>
      <c r="B1" s="4"/>
      <c r="C1" s="4"/>
      <c r="D1" s="4"/>
      <c r="E1" s="4"/>
    </row>
    <row r="2" spans="1:5" ht="21">
      <c r="A2" s="4"/>
      <c r="B2" s="4"/>
      <c r="C2" s="713" t="s">
        <v>82</v>
      </c>
      <c r="D2" s="713"/>
      <c r="E2" s="4"/>
    </row>
    <row r="3" spans="1:5" ht="21">
      <c r="A3" s="4"/>
      <c r="B3" s="4"/>
      <c r="C3" s="17"/>
      <c r="D3" s="17"/>
      <c r="E3" s="4"/>
    </row>
    <row r="4" spans="1:5">
      <c r="A4" s="4"/>
      <c r="B4" s="4"/>
      <c r="C4" s="16" t="s">
        <v>2089</v>
      </c>
      <c r="D4" s="16" t="s">
        <v>2090</v>
      </c>
      <c r="E4" s="4"/>
    </row>
    <row r="5" spans="1:5">
      <c r="A5" s="4"/>
      <c r="B5" s="4"/>
      <c r="C5" s="579" t="s">
        <v>25</v>
      </c>
      <c r="D5" s="16" t="s">
        <v>2091</v>
      </c>
      <c r="E5" s="4"/>
    </row>
    <row r="6" spans="1:5">
      <c r="A6" s="4"/>
      <c r="B6" s="4"/>
      <c r="C6" s="579" t="s">
        <v>26</v>
      </c>
      <c r="D6" s="16" t="s">
        <v>2091</v>
      </c>
      <c r="E6" s="4"/>
    </row>
    <row r="7" spans="1:5">
      <c r="A7" s="4"/>
      <c r="B7" s="4"/>
      <c r="C7" s="579" t="s">
        <v>27</v>
      </c>
      <c r="D7" s="16" t="s">
        <v>2091</v>
      </c>
      <c r="E7" s="4"/>
    </row>
    <row r="8" spans="1:5">
      <c r="A8" s="4"/>
      <c r="B8" s="4"/>
      <c r="C8" s="579" t="s">
        <v>28</v>
      </c>
      <c r="D8" s="16" t="s">
        <v>2091</v>
      </c>
      <c r="E8" s="4"/>
    </row>
    <row r="9" spans="1:5">
      <c r="A9" s="4"/>
      <c r="B9" s="4"/>
      <c r="C9" s="579" t="s">
        <v>30</v>
      </c>
      <c r="D9" s="16" t="s">
        <v>2091</v>
      </c>
      <c r="E9" s="4"/>
    </row>
    <row r="10" spans="1:5">
      <c r="A10" s="4"/>
      <c r="B10" s="4"/>
      <c r="C10" s="579" t="s">
        <v>31</v>
      </c>
      <c r="D10" s="16" t="s">
        <v>2091</v>
      </c>
      <c r="E10" s="4"/>
    </row>
    <row r="11" spans="1:5">
      <c r="A11" s="4"/>
      <c r="B11" s="4"/>
      <c r="C11" s="580" t="s">
        <v>2092</v>
      </c>
      <c r="D11" s="16" t="s">
        <v>2091</v>
      </c>
      <c r="E11" s="4"/>
    </row>
    <row r="12" spans="1:5">
      <c r="A12" s="4"/>
      <c r="B12" s="4"/>
      <c r="C12" s="579" t="s">
        <v>39</v>
      </c>
      <c r="D12" s="16" t="s">
        <v>2091</v>
      </c>
      <c r="E12" s="4"/>
    </row>
    <row r="13" spans="1:5">
      <c r="A13" s="4"/>
      <c r="B13" s="4"/>
      <c r="C13" s="579" t="s">
        <v>44</v>
      </c>
      <c r="D13" s="16" t="s">
        <v>2091</v>
      </c>
      <c r="E13" s="4"/>
    </row>
    <row r="14" spans="1:5">
      <c r="A14" s="4"/>
      <c r="B14" s="4"/>
      <c r="C14" s="579" t="s">
        <v>47</v>
      </c>
      <c r="D14" s="16" t="s">
        <v>2091</v>
      </c>
      <c r="E14" s="4"/>
    </row>
    <row r="15" spans="1:5">
      <c r="A15" s="4"/>
      <c r="B15" s="4"/>
      <c r="C15" s="10" t="s">
        <v>53</v>
      </c>
      <c r="D15" s="16" t="s">
        <v>2091</v>
      </c>
      <c r="E15" s="4"/>
    </row>
    <row r="16" spans="1:5">
      <c r="A16" s="4"/>
      <c r="B16" s="4"/>
      <c r="C16" s="10" t="s">
        <v>56</v>
      </c>
      <c r="D16" s="16" t="s">
        <v>2093</v>
      </c>
      <c r="E16" s="4"/>
    </row>
    <row r="17" spans="1:5">
      <c r="A17" s="4"/>
      <c r="B17" s="4"/>
      <c r="C17" s="582" t="s">
        <v>2094</v>
      </c>
      <c r="D17" s="16" t="s">
        <v>2091</v>
      </c>
      <c r="E17" s="4"/>
    </row>
    <row r="18" spans="1:5">
      <c r="A18" s="4"/>
      <c r="B18" s="4"/>
      <c r="C18" s="582" t="s">
        <v>2095</v>
      </c>
      <c r="D18" s="16" t="s">
        <v>2091</v>
      </c>
      <c r="E18" s="4"/>
    </row>
    <row r="19" spans="1:5">
      <c r="A19" s="4"/>
      <c r="B19" s="4"/>
      <c r="C19" s="582" t="s">
        <v>2096</v>
      </c>
      <c r="D19" s="16" t="s">
        <v>2091</v>
      </c>
      <c r="E19" s="4"/>
    </row>
    <row r="20" spans="1:5">
      <c r="A20" s="4"/>
      <c r="B20" s="4"/>
      <c r="C20" s="582" t="s">
        <v>2097</v>
      </c>
      <c r="D20" s="16" t="s">
        <v>2091</v>
      </c>
      <c r="E20" s="4"/>
    </row>
    <row r="21" spans="1:5">
      <c r="A21" s="4"/>
      <c r="B21" s="4"/>
      <c r="C21" s="582" t="s">
        <v>2098</v>
      </c>
      <c r="D21" s="16" t="s">
        <v>2091</v>
      </c>
      <c r="E21" s="4"/>
    </row>
    <row r="22" spans="1:5">
      <c r="A22" s="4"/>
      <c r="B22" s="4"/>
      <c r="C22" s="583" t="s">
        <v>100</v>
      </c>
      <c r="D22" s="16" t="s">
        <v>2091</v>
      </c>
      <c r="E22" s="4"/>
    </row>
    <row r="23" spans="1:5">
      <c r="A23" s="4"/>
      <c r="B23" s="4"/>
      <c r="C23" s="583" t="s">
        <v>101</v>
      </c>
      <c r="D23" s="16" t="s">
        <v>2091</v>
      </c>
      <c r="E23" s="4"/>
    </row>
    <row r="24" spans="1:5">
      <c r="A24" s="4"/>
      <c r="B24" s="4"/>
      <c r="C24" s="583" t="s">
        <v>102</v>
      </c>
      <c r="D24" s="16" t="s">
        <v>2091</v>
      </c>
      <c r="E24" s="4"/>
    </row>
    <row r="25" spans="1:5">
      <c r="A25" s="4"/>
      <c r="B25" s="4"/>
      <c r="C25" s="583" t="s">
        <v>103</v>
      </c>
      <c r="D25" s="16" t="s">
        <v>2091</v>
      </c>
      <c r="E25" s="4"/>
    </row>
    <row r="26" spans="1:5">
      <c r="A26" s="4"/>
      <c r="B26" s="4"/>
      <c r="C26" s="584" t="s">
        <v>104</v>
      </c>
      <c r="D26" s="16" t="s">
        <v>2091</v>
      </c>
      <c r="E26" s="4"/>
    </row>
    <row r="27" spans="1:5">
      <c r="A27" s="4"/>
      <c r="B27" s="4"/>
      <c r="C27" s="584" t="s">
        <v>105</v>
      </c>
      <c r="D27" s="16" t="s">
        <v>2091</v>
      </c>
      <c r="E27" s="4"/>
    </row>
    <row r="28" spans="1:5">
      <c r="A28" s="4"/>
      <c r="B28" s="4"/>
      <c r="C28" s="584" t="s">
        <v>106</v>
      </c>
      <c r="D28" s="16" t="s">
        <v>2091</v>
      </c>
      <c r="E28" s="4"/>
    </row>
    <row r="29" spans="1:5">
      <c r="A29" s="4"/>
      <c r="B29" s="4"/>
      <c r="C29" s="584" t="s">
        <v>107</v>
      </c>
      <c r="D29" s="16" t="s">
        <v>2091</v>
      </c>
      <c r="E29" s="4"/>
    </row>
    <row r="30" spans="1:5">
      <c r="A30" s="4"/>
      <c r="B30" s="4"/>
      <c r="C30" s="584" t="s">
        <v>108</v>
      </c>
      <c r="D30" s="16" t="s">
        <v>2091</v>
      </c>
      <c r="E30" s="4"/>
    </row>
    <row r="31" spans="1:5">
      <c r="A31" s="4"/>
      <c r="B31" s="4"/>
      <c r="C31" s="584" t="s">
        <v>109</v>
      </c>
      <c r="D31" s="16" t="s">
        <v>2091</v>
      </c>
      <c r="E31" s="4"/>
    </row>
    <row r="32" spans="1:5">
      <c r="A32" s="4"/>
      <c r="B32" s="4"/>
      <c r="C32" s="584" t="s">
        <v>110</v>
      </c>
      <c r="D32" s="16" t="s">
        <v>2091</v>
      </c>
      <c r="E32" s="4"/>
    </row>
    <row r="33" spans="1:5">
      <c r="A33" s="4"/>
      <c r="B33" s="4"/>
      <c r="C33" s="580" t="s">
        <v>345</v>
      </c>
      <c r="D33" s="16" t="s">
        <v>2099</v>
      </c>
      <c r="E33" s="4"/>
    </row>
    <row r="34" spans="1:5">
      <c r="A34" s="4"/>
      <c r="B34" s="4"/>
      <c r="C34" s="580" t="s">
        <v>447</v>
      </c>
      <c r="D34" s="16" t="s">
        <v>2100</v>
      </c>
      <c r="E34" s="4"/>
    </row>
    <row r="35" spans="1:5">
      <c r="A35" s="4"/>
      <c r="B35" s="4"/>
      <c r="C35" s="580" t="s">
        <v>449</v>
      </c>
      <c r="D35" s="16" t="s">
        <v>2100</v>
      </c>
      <c r="E35" s="4"/>
    </row>
    <row r="36" spans="1:5">
      <c r="A36" s="4"/>
      <c r="B36" s="4"/>
      <c r="C36" s="580" t="s">
        <v>461</v>
      </c>
      <c r="D36" s="16" t="s">
        <v>72</v>
      </c>
      <c r="E36" s="4"/>
    </row>
    <row r="37" spans="1:5">
      <c r="A37" s="4"/>
      <c r="B37" s="4"/>
      <c r="C37" s="580" t="s">
        <v>462</v>
      </c>
      <c r="D37" s="16" t="s">
        <v>72</v>
      </c>
      <c r="E37" s="4"/>
    </row>
    <row r="38" spans="1:5">
      <c r="A38" s="4"/>
      <c r="B38" s="4"/>
      <c r="C38" s="580" t="s">
        <v>466</v>
      </c>
      <c r="D38" s="16" t="s">
        <v>72</v>
      </c>
      <c r="E38" s="4"/>
    </row>
    <row r="39" spans="1:5">
      <c r="A39" s="4"/>
      <c r="B39" s="4"/>
      <c r="C39" s="580" t="s">
        <v>467</v>
      </c>
      <c r="D39" s="16" t="s">
        <v>72</v>
      </c>
      <c r="E39" s="4"/>
    </row>
    <row r="40" spans="1:5">
      <c r="A40" s="4"/>
      <c r="B40" s="4"/>
      <c r="C40" s="580" t="s">
        <v>468</v>
      </c>
      <c r="D40" s="16" t="s">
        <v>72</v>
      </c>
      <c r="E40" s="4"/>
    </row>
    <row r="41" spans="1:5">
      <c r="A41" s="4"/>
      <c r="B41" s="4"/>
      <c r="C41" s="580" t="s">
        <v>591</v>
      </c>
      <c r="D41" s="16" t="s">
        <v>2101</v>
      </c>
      <c r="E41" s="4"/>
    </row>
    <row r="42" spans="1:5">
      <c r="A42" s="4"/>
      <c r="B42" s="4"/>
      <c r="C42" s="585" t="s">
        <v>793</v>
      </c>
      <c r="D42" s="16" t="s">
        <v>2102</v>
      </c>
      <c r="E42" s="4"/>
    </row>
    <row r="43" spans="1:5">
      <c r="A43" s="4"/>
      <c r="B43" s="4"/>
      <c r="C43" s="580" t="s">
        <v>795</v>
      </c>
      <c r="D43" s="16" t="s">
        <v>2103</v>
      </c>
      <c r="E43" s="4"/>
    </row>
    <row r="44" spans="1:5">
      <c r="A44" s="4"/>
      <c r="B44" s="4"/>
      <c r="C44" s="580" t="s">
        <v>879</v>
      </c>
      <c r="D44" s="16" t="s">
        <v>2104</v>
      </c>
      <c r="E44" s="4"/>
    </row>
    <row r="45" spans="1:5">
      <c r="A45" s="4"/>
      <c r="B45" s="4"/>
      <c r="C45" s="580" t="s">
        <v>880</v>
      </c>
      <c r="D45" s="16" t="s">
        <v>2104</v>
      </c>
      <c r="E45" s="4"/>
    </row>
    <row r="46" spans="1:5">
      <c r="A46" s="4"/>
      <c r="B46" s="4"/>
      <c r="C46" s="580" t="s">
        <v>881</v>
      </c>
      <c r="D46" s="16" t="s">
        <v>2104</v>
      </c>
      <c r="E46" s="4"/>
    </row>
    <row r="47" spans="1:5">
      <c r="A47" s="4"/>
      <c r="B47" s="4"/>
      <c r="C47" s="585" t="s">
        <v>882</v>
      </c>
      <c r="D47" s="16" t="s">
        <v>2104</v>
      </c>
      <c r="E47" s="4"/>
    </row>
    <row r="48" spans="1:5">
      <c r="A48" s="4"/>
      <c r="B48" s="4"/>
      <c r="C48" s="580" t="s">
        <v>883</v>
      </c>
      <c r="D48" s="16" t="s">
        <v>2104</v>
      </c>
      <c r="E48" s="4"/>
    </row>
    <row r="49" spans="1:5">
      <c r="A49" s="4"/>
      <c r="B49" s="4"/>
      <c r="C49" s="580" t="s">
        <v>884</v>
      </c>
      <c r="D49" s="16" t="s">
        <v>2104</v>
      </c>
      <c r="E49" s="4"/>
    </row>
    <row r="50" spans="1:5">
      <c r="A50" s="4"/>
      <c r="B50" s="4"/>
      <c r="C50" s="580" t="s">
        <v>885</v>
      </c>
      <c r="D50" s="16" t="s">
        <v>2104</v>
      </c>
      <c r="E50" s="4"/>
    </row>
    <row r="51" spans="1:5">
      <c r="A51" s="4"/>
      <c r="B51" s="4"/>
      <c r="C51" s="580" t="s">
        <v>886</v>
      </c>
      <c r="D51" s="16" t="s">
        <v>2104</v>
      </c>
      <c r="E51" s="4"/>
    </row>
    <row r="52" spans="1:5">
      <c r="A52" s="4"/>
      <c r="B52" s="4"/>
      <c r="C52" s="580" t="s">
        <v>887</v>
      </c>
      <c r="D52" s="16" t="s">
        <v>2104</v>
      </c>
      <c r="E52" s="4"/>
    </row>
    <row r="53" spans="1:5">
      <c r="A53" s="4"/>
      <c r="B53" s="4"/>
      <c r="C53" s="580" t="s">
        <v>888</v>
      </c>
      <c r="D53" s="16" t="s">
        <v>2104</v>
      </c>
      <c r="E53" s="4"/>
    </row>
    <row r="54" spans="1:5">
      <c r="A54" s="4"/>
      <c r="B54" s="4"/>
      <c r="C54" s="580" t="s">
        <v>1071</v>
      </c>
      <c r="D54" s="16" t="s">
        <v>17</v>
      </c>
      <c r="E54" s="4"/>
    </row>
    <row r="55" spans="1:5">
      <c r="A55" s="4"/>
      <c r="B55" s="4"/>
      <c r="C55" s="580" t="s">
        <v>1072</v>
      </c>
      <c r="D55" s="16" t="s">
        <v>17</v>
      </c>
      <c r="E55" s="4"/>
    </row>
    <row r="56" spans="1:5">
      <c r="A56" s="4"/>
      <c r="B56" s="4"/>
      <c r="C56" s="580" t="s">
        <v>1128</v>
      </c>
      <c r="D56" s="16" t="s">
        <v>2105</v>
      </c>
      <c r="E56" s="4"/>
    </row>
    <row r="57" spans="1:5">
      <c r="A57" s="4"/>
      <c r="B57" s="4"/>
      <c r="C57" s="580" t="s">
        <v>1134</v>
      </c>
      <c r="D57" s="16" t="s">
        <v>2106</v>
      </c>
      <c r="E57" s="4"/>
    </row>
    <row r="58" spans="1:5">
      <c r="A58" s="4"/>
      <c r="B58" s="4"/>
      <c r="C58" s="580" t="s">
        <v>1135</v>
      </c>
      <c r="D58" s="16" t="s">
        <v>2106</v>
      </c>
      <c r="E58" s="4"/>
    </row>
    <row r="59" spans="1:5">
      <c r="A59" s="4"/>
      <c r="B59" s="4"/>
      <c r="C59" s="585" t="s">
        <v>1337</v>
      </c>
      <c r="D59" s="16" t="s">
        <v>2107</v>
      </c>
      <c r="E59" s="4"/>
    </row>
    <row r="60" spans="1:5">
      <c r="A60" s="4"/>
      <c r="B60" s="4"/>
      <c r="C60" s="585" t="s">
        <v>1507</v>
      </c>
      <c r="D60" s="16" t="s">
        <v>2108</v>
      </c>
      <c r="E60" s="4"/>
    </row>
    <row r="61" spans="1:5">
      <c r="A61" s="4"/>
      <c r="B61" s="4"/>
      <c r="C61" s="580" t="s">
        <v>1377</v>
      </c>
      <c r="D61" s="16" t="s">
        <v>2109</v>
      </c>
      <c r="E61" s="4"/>
    </row>
    <row r="62" spans="1:5">
      <c r="A62" s="4"/>
      <c r="B62" s="4"/>
      <c r="C62" s="580" t="s">
        <v>1378</v>
      </c>
      <c r="D62" s="16" t="s">
        <v>2109</v>
      </c>
      <c r="E62" s="4"/>
    </row>
    <row r="63" spans="1:5">
      <c r="A63" s="4"/>
      <c r="B63" s="4"/>
      <c r="C63" s="580" t="s">
        <v>1379</v>
      </c>
      <c r="D63" s="16" t="s">
        <v>2109</v>
      </c>
      <c r="E63" s="4"/>
    </row>
    <row r="64" spans="1:5">
      <c r="A64" s="4"/>
      <c r="B64" s="4"/>
      <c r="C64" s="580" t="s">
        <v>1391</v>
      </c>
      <c r="D64" s="16" t="s">
        <v>1243</v>
      </c>
      <c r="E64" s="4"/>
    </row>
    <row r="65" spans="1:5">
      <c r="A65" s="4"/>
      <c r="B65" s="4"/>
      <c r="C65" s="580" t="s">
        <v>1762</v>
      </c>
      <c r="D65" s="16" t="s">
        <v>2110</v>
      </c>
      <c r="E65" s="4"/>
    </row>
    <row r="66" spans="1:5">
      <c r="A66" s="4"/>
      <c r="B66" s="4"/>
      <c r="C66" s="580" t="s">
        <v>1813</v>
      </c>
      <c r="D66" s="16" t="s">
        <v>40</v>
      </c>
      <c r="E66" s="4"/>
    </row>
    <row r="67" spans="1:5">
      <c r="A67" s="4"/>
      <c r="B67" s="4"/>
      <c r="C67" s="580" t="s">
        <v>1814</v>
      </c>
      <c r="D67" s="16" t="s">
        <v>40</v>
      </c>
      <c r="E67" s="4"/>
    </row>
    <row r="68" spans="1:5">
      <c r="A68" s="4"/>
      <c r="B68" s="4"/>
      <c r="C68" s="585" t="s">
        <v>1952</v>
      </c>
      <c r="D68" s="16" t="s">
        <v>46</v>
      </c>
      <c r="E68" s="4"/>
    </row>
    <row r="69" spans="1:5">
      <c r="A69" s="4"/>
      <c r="B69" s="4"/>
      <c r="C69" s="580" t="s">
        <v>2077</v>
      </c>
      <c r="D69" s="16" t="s">
        <v>271</v>
      </c>
      <c r="E69" s="4"/>
    </row>
    <row r="70" spans="1:5">
      <c r="A70" s="4"/>
      <c r="B70" s="4"/>
      <c r="C70" s="4"/>
      <c r="D70" s="4"/>
      <c r="E70" s="4"/>
    </row>
  </sheetData>
  <mergeCells count="1">
    <mergeCell ref="C2:D2"/>
  </mergeCells>
  <phoneticPr fontId="65"/>
  <hyperlinks>
    <hyperlink ref="C5" r:id="rId1" location="shared-responsibility-model" display="Review the shared responsibility model" xr:uid="{31AAB3A6-EAD2-4C0D-A4D5-7618150EE7AB}"/>
    <hyperlink ref="C9" r:id="rId2" location="availability-zones" display="Azure Availability Zones" xr:uid="{3A47B5AB-84A5-4FDA-BA2A-6C9FDAEA0A7E}"/>
    <hyperlink ref="C7" r:id="rId3" location="regions" display="What are Azure regions and availability zones? | Microsoft Learn" xr:uid="{C24F03CA-68CD-4089-9105-48BD5B572F63}"/>
    <hyperlink ref="C6" r:id="rId4" location="overview" xr:uid="{FEE63D19-DA59-417A-A450-9110FB8207F7}"/>
    <hyperlink ref="C8" r:id="rId5" location="azure-cross-region-replication-pairings-for-all-geographies" xr:uid="{7FBAE1CC-22AA-45C8-9803-5D7DDC02228B}"/>
    <hyperlink ref="C10" r:id="rId6" xr:uid="{12AC43DC-F56D-40CA-AAD0-D52D7990694B}"/>
    <hyperlink ref="C12" r:id="rId7" display="Cloud Design Patterns" xr:uid="{292305EF-AA8A-4B40-99B5-4227835B78C1}"/>
    <hyperlink ref="C11" r:id="rId8" display="Azure Load Balancing 6" xr:uid="{2B6E8593-AE5A-45B5-9198-8622544A357A}"/>
    <hyperlink ref="C14" r:id="rId9" xr:uid="{58543141-5BCD-48ED-86D6-0B7984B0FD3D}"/>
    <hyperlink ref="C13" r:id="rId10" xr:uid="{43EC785C-2D24-440F-84BE-E2A4E20912EE}"/>
    <hyperlink ref="C15" r:id="rId11" location="azure-and-dynamics-365" xr:uid="{0026C923-B276-4688-9186-3691A2AD6858}"/>
    <hyperlink ref="C16" r:id="rId12" xr:uid="{14E536E7-DCB3-4F2C-AEA6-2351EB1F46B5}"/>
    <hyperlink ref="C17" r:id="rId13" location="azure-services-reliability-guides" display="Review Azure services reliability guides" xr:uid="{4D52970C-90BD-4AA1-A3CA-818CA72718A3}"/>
    <hyperlink ref="C18" r:id="rId14" display="https://learn.microsoft.com/en-us/azure/architecture/checklist/resiliency-per-service?bc=%2Fazure%2Fcloud-adoption-framework%2F_bread%2Ftoc.json&amp;toc=%2Fazure%2Fcloud-adoption-framework%2Ftoc.json" xr:uid="{B83F5936-194C-40F5-9814-72A9B54C282C}"/>
    <hyperlink ref="C19" r:id="rId15" location="cost-vs-reliability" display="Cost" xr:uid="{182567B3-5C3D-46E8-8D08-EF3552FB21DF}"/>
    <hyperlink ref="C20" r:id="rId16" location="performance-efficiency-vs-reliability" display="Performance" xr:uid="{ECD30B2E-9A2F-495E-9FF1-2072E09DF511}"/>
    <hyperlink ref="C21" r:id="rId17" location="security-vs-reliability" display="Security" xr:uid="{EAB194B7-A77F-459B-B7A2-4B13009A26C1}"/>
    <hyperlink ref="C23" r:id="rId18" display="Azure App Service" xr:uid="{0025A65E-99AF-430A-AE51-1DCAB6B509A0}"/>
    <hyperlink ref="C29" r:id="rId19" display="Key Vault" xr:uid="{60566982-D8B6-4753-B317-5ED08FCDCF61}"/>
    <hyperlink ref="C24" r:id="rId20" display="Azure DNS" xr:uid="{52C3EAB3-30A9-4D29-A106-9E64E5F1AFE0}"/>
    <hyperlink ref="C22" r:id="rId21" display="Azure AD" xr:uid="{9B02F561-3914-42DC-A74F-163D7D1935A8}"/>
    <hyperlink ref="C26" r:id="rId22" xr:uid="{EC5E8A49-66FB-4F99-B877-37B6F2EE5243}"/>
    <hyperlink ref="C25" r:id="rId23" display="Azure Service Bus Geo-DR" xr:uid="{FC245981-A5AD-4D36-A06D-1EBC644E6DAE}"/>
    <hyperlink ref="C27" r:id="rId24" display="Azure SQL Database" xr:uid="{500095F1-91E0-42E2-A4F1-C2D9B1FB15F5}"/>
    <hyperlink ref="C28" r:id="rId25" xr:uid="{BEEF14D4-A05A-4560-A071-907D169F475A}"/>
    <hyperlink ref="C32" r:id="rId26" xr:uid="{52B9E6EA-E131-4B86-9D49-B722EB31DF91}"/>
    <hyperlink ref="C31" r:id="rId27" display="Blobs (Soft Delete)" xr:uid="{F2FEE1C8-5300-4570-ACE8-0614B0636D43}"/>
    <hyperlink ref="C30" r:id="rId28" xr:uid="{6B37CF35-5ADA-4EBD-AF26-3BD4861E9F06}"/>
    <hyperlink ref="C33" r:id="rId29" location="criticality-scale" display="https://learn.microsoft.com/en-us/azure/cloud-adoption-framework/manage/considerations/criticality - criticality-scale" xr:uid="{3CAF5644-8D7C-458C-897B-09099F4AC5BE}"/>
    <hyperlink ref="C34" r:id="rId30" location="continuous-validation-and-testing" display="https://learn.microsoft.com/en-us/azure/well-architected/mission-critical/mission-critical-deployment-testing - continuous-validation-and-testing" xr:uid="{B99F7AD2-A74E-4419-99A6-D46B88DDE30A}"/>
    <hyperlink ref="C35" r:id="rId31" display="Security Controls are aligned with the Microsoft Cloud Security Benchmark v1" xr:uid="{9771DE62-B332-439C-ABC2-9860C92780B8}"/>
    <hyperlink ref="C36" r:id="rId32" display="https://azure.microsoft.com/en-us/resources/resilience-in-azure-whitepaper/" xr:uid="{34F6E88F-40DC-4AE8-A412-93559F3E17F4}"/>
    <hyperlink ref="C37" r:id="rId33" display="https://learn.microsoft.com/en-us/azure/active-directory/authentication/concept-resilient-controls" xr:uid="{F08106F1-3C2B-40E0-8BF4-EE50D5FD08CB}"/>
    <hyperlink ref="C38" r:id="rId34" display="https://docs.github.com/en/code-security/getting-started/securing-your-repository" xr:uid="{2C9FD981-ABB9-40DB-8586-1C5712EB33B8}"/>
    <hyperlink ref="C39" r:id="rId35" display="https://docs.github.com/en/enterprise-cloud@latest/admin/policies/enforcing-policies-for-your-enterprise/enforcing-repository-management-policies-in-your-enterprise" xr:uid="{C85625F0-64F2-46B1-9C73-807F80363E61}"/>
    <hyperlink ref="C40" r:id="rId36" display="https://learn.microsoft.com/en-us/devops/operate/safe-deployment-practices" xr:uid="{F63AEDDD-08D4-4FE2-B163-851333BA402E}"/>
    <hyperlink ref="C41" r:id="rId37" display="https://learn.microsoft.com/en-us/azure/cloud-adoption-framework/organize/raci-alignment" xr:uid="{A993DD62-CA9E-4D2E-9E07-FBE83CF9A916}"/>
    <hyperlink ref="C42:D42" r:id="rId38" display="Microsoft Well-Architected Framework Assessments" xr:uid="{3C25910A-689C-480C-905A-31E4ED8421E9}"/>
    <hyperlink ref="C43" r:id="rId39" display="Determine compliance requirements." xr:uid="{4CC7DF8D-09C7-4D87-80BB-BFB013F7A25C}"/>
    <hyperlink ref="C47" r:id="rId40" location="continuous-validation-and-testing" display="https://learn.microsoft.com/en-us/azure/well-architected/mission-critical/mission-critical-deployment-testing - continuous-validation-and-testing" xr:uid="{FE32EA91-DA54-4B60-ABBD-FDEE3687133A}"/>
    <hyperlink ref="C46" r:id="rId41" display="https://learn.microsoft.com/en-us/azure/well-architected/resiliency/test-checklist?source=recommendations" xr:uid="{E32BEE91-882F-43CC-8CD2-9FA22D06064E}"/>
    <hyperlink ref="C51" r:id="rId42" display="https://learn.microsoft.com/en-us/azure/well-architected/resiliency/testing" xr:uid="{B2C67B18-0BFB-404F-B015-638A530558F7}"/>
    <hyperlink ref="C44" r:id="rId43" display="https://learn.microsoft.com/en-us/azure/well-architected/resiliency/backup-and-recovery" xr:uid="{334E5006-CC0A-4D27-A0FB-B19EDBDB2733}"/>
    <hyperlink ref="C52" r:id="rId44" display="https://learn.microsoft.com/en-us/azure/well-architected/resiliency/chaos-engineering" xr:uid="{6BE02EC3-C4CC-4387-BCA1-D2CE80DB2913}"/>
    <hyperlink ref="C45" r:id="rId45" display="https://learn.microsoft.com/en-us/azure/well-architected/resiliency/test-best-practices" xr:uid="{76ACA87E-7925-411F-B4E5-DAEE2A247D25}"/>
    <hyperlink ref="C48" r:id="rId46" display="https://learn.microsoft.com/en-us/azure/well-architected/resiliency/monitor-checklist" xr:uid="{B1BBB93F-18EA-4FC5-884F-930F65D40EBC}"/>
    <hyperlink ref="C50" r:id="rId47" display="https://learn.microsoft.com/en-us/azure/well-architected/resiliency/reliability-patterns" xr:uid="{9ECBF513-AAE5-4452-8A16-CC5E585CFA4A}"/>
    <hyperlink ref="C53" r:id="rId48" location="chaos-studio-scenarios" display="https://learn.microsoft.com/en-US/azure/chaos-studio/chaos-studio-overview - chaos-studio-scenarios" xr:uid="{4FA2A0D2-DDF5-4F03-BC20-0373E2847865}"/>
    <hyperlink ref="C49" r:id="rId49" display="https://learn.microsoft.com/en-us/azure/security/fundamentals/pen-testing" xr:uid="{B882ADB5-BC80-4F52-843D-52DE3BB33E6D}"/>
    <hyperlink ref="D43" r:id="rId50" display="Microsoft Well-Architected Framework Assessments" xr:uid="{0C17A934-DF17-473B-BE30-5185495E2A13}"/>
    <hyperlink ref="C54" r:id="rId51" display="https://learn.microsoft.com/en-us/azure/azure-monitor/app/app-map?tabs=net" xr:uid="{61BBEE52-EDDA-4C76-9721-F352265D8FE4}"/>
    <hyperlink ref="C55" r:id="rId52" display="https://learn.microsoft.com/en-us/azure/azure-monitor/vm/vminsights-maps?source=recommendations" xr:uid="{E06A0E6E-2AF6-4502-92C1-4D8F08FABD1D}"/>
    <hyperlink ref="C56" r:id="rId53" display="https://learn.microsoft.com/en-us/compliance/assurance/assurance-developing-your-ebcm-plan" xr:uid="{49E4DF08-1AB2-4F6C-9239-67BA4C4BE53B}"/>
    <hyperlink ref="C57" r:id="rId54" display="https://support.microsoft.com/en-us/office/create-a-fault-tree-analysis-diagram-11d9daff-46ea-47f8-82de-e0b5e37ade20" xr:uid="{73EE3C41-1FC4-4918-8F0D-3EE1FB3E78EB}"/>
    <hyperlink ref="C58" r:id="rId55" xr:uid="{B6D5FDE0-10B8-4E28-9870-95AA5DDC1C7F}"/>
    <hyperlink ref="C59" r:id="rId56" display="Refer to the most recent resiliency and regional availability categories." xr:uid="{29D81D27-FD72-41DB-813F-73EB269A1567}"/>
    <hyperlink ref="C60" r:id="rId57" display="Refer to current pricing." xr:uid="{183CA1AA-4B5E-4A56-9B62-AB8BB8E30A26}"/>
    <hyperlink ref="C61" r:id="rId58" display="https://github.com/Azure/reliability-workbook" xr:uid="{ADB2033F-B5E7-4BDE-BBD6-7F70DC459DB2}"/>
    <hyperlink ref="C62" r:id="rId59" display="https://learn.microsoft.com/en-us/azure/active-directory/fundamentals/identity-secure-score" xr:uid="{FDFFB6D6-9D16-46E4-979B-029806A69620}"/>
    <hyperlink ref="C63" r:id="rId60" display="https://learn.microsoft.com/en-us/azure/defender-for-cloud/secure-score-access-and-track" xr:uid="{AC186938-3D5E-4766-BA2B-6A8C00EAA735}"/>
    <hyperlink ref="C64" r:id="rId61" location="event-scope-and-strategy" display="https://learn.microsoft.com/en-us/azure/architecture/data-guide/disaster-recovery/dr-for-azure-data-platform-recommendations - event-scope-and-strategy" xr:uid="{B76719C4-3705-4559-86A5-C3ACBA0D1CA3}"/>
    <hyperlink ref="C65" r:id="rId62" location="iso:std:iso:22301:ed-2:v1:en" display="https://www.iso.org/obp/ui/ - iso:std:iso:22301:ed-2:v1:en" xr:uid="{28ABA536-D0BC-4690-9C92-103836FCF01B}"/>
    <hyperlink ref="C66" r:id="rId63" display="https://www.preventionweb.net/understanding-disaster-risk/component-risk/disaster-risk" xr:uid="{D000810E-B0EE-446E-81A1-22A97C8059AD}"/>
    <hyperlink ref="C67" r:id="rId64" display="https://www.preventionweb.net/publication/tools-mainstreaming-disaster-risk-reduction-guidance-notes-development-organisations" xr:uid="{791AFB82-A78A-4DD1-B423-61BFE371C2EB}"/>
    <hyperlink ref="C68" r:id="rId65" display="Consider including Azure Planned Maintenance events that affect the environment in the calendar." xr:uid="{16680914-DEE7-4503-9117-309F8E6272A7}"/>
    <hyperlink ref="C69" r:id="rId66" display="https://learn.microsoft.com/en-us/azure/reliability/business-continuity-management-program" xr:uid="{23AA467F-CF87-4509-B328-CDDB248B6DF2}"/>
  </hyperlinks>
  <pageMargins left="0.7" right="0.7" top="0.75" bottom="0.75" header="0.3" footer="0.3"/>
  <pageSetup paperSize="9" orientation="portrait" r:id="rId67"/>
  <drawing r:id="rId68"/>
  <tableParts count="1">
    <tablePart r:id="rId69"/>
  </tableParts>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C7614F-E731-48DD-B5DE-B31B21620480}">
  <dimension ref="C2:M47"/>
  <sheetViews>
    <sheetView showGridLines="0" showRowColHeaders="0" zoomScale="85" zoomScaleNormal="85" workbookViewId="0">
      <selection activeCell="A4" sqref="A4"/>
    </sheetView>
  </sheetViews>
  <sheetFormatPr defaultColWidth="8.85546875" defaultRowHeight="14.45"/>
  <cols>
    <col min="1" max="2" width="5.85546875" style="4" customWidth="1"/>
    <col min="3" max="3" width="28.140625" style="4" bestFit="1" customWidth="1"/>
    <col min="4" max="4" width="28.85546875" style="4" customWidth="1"/>
    <col min="5" max="5" width="3.5703125" style="4" customWidth="1"/>
    <col min="6" max="6" width="25.42578125" style="4" bestFit="1" customWidth="1"/>
    <col min="7" max="7" width="31.42578125" style="4" customWidth="1"/>
    <col min="8" max="8" width="25.42578125" style="4" bestFit="1" customWidth="1"/>
    <col min="9" max="9" width="3.5703125" style="4" customWidth="1"/>
    <col min="10" max="10" width="33.42578125" style="4" bestFit="1" customWidth="1"/>
    <col min="11" max="11" width="3.5703125" style="4" customWidth="1"/>
    <col min="12" max="12" width="27.5703125" style="4" customWidth="1"/>
    <col min="13" max="13" width="123.85546875" style="4" bestFit="1" customWidth="1"/>
    <col min="14" max="14" width="3.5703125" style="4" customWidth="1"/>
    <col min="15" max="16384" width="8.85546875" style="4"/>
  </cols>
  <sheetData>
    <row r="2" spans="3:13" ht="21">
      <c r="C2" s="618" t="s">
        <v>2111</v>
      </c>
      <c r="D2" s="618"/>
      <c r="E2" s="618"/>
      <c r="F2" s="618"/>
      <c r="G2" s="618"/>
      <c r="H2" s="618"/>
      <c r="I2" s="618"/>
      <c r="J2" s="618"/>
      <c r="K2" s="618"/>
      <c r="L2" s="618"/>
      <c r="M2" s="618"/>
    </row>
    <row r="4" spans="3:13">
      <c r="C4" s="16" t="s">
        <v>2112</v>
      </c>
      <c r="D4" s="16" t="s">
        <v>474</v>
      </c>
      <c r="F4" s="16" t="s">
        <v>2113</v>
      </c>
      <c r="H4" s="16" t="s">
        <v>2091</v>
      </c>
      <c r="J4" s="16" t="s">
        <v>602</v>
      </c>
      <c r="L4" s="16" t="s">
        <v>267</v>
      </c>
      <c r="M4" s="16" t="s">
        <v>2114</v>
      </c>
    </row>
    <row r="5" spans="3:13">
      <c r="C5" s="16" t="s">
        <v>2115</v>
      </c>
      <c r="D5" s="16"/>
      <c r="F5" s="16" t="s">
        <v>1577</v>
      </c>
      <c r="H5" s="18" t="s">
        <v>2116</v>
      </c>
      <c r="J5" s="16" t="s">
        <v>349</v>
      </c>
      <c r="L5" s="18" t="s">
        <v>319</v>
      </c>
      <c r="M5" s="18" t="s">
        <v>320</v>
      </c>
    </row>
    <row r="6" spans="3:13">
      <c r="C6" s="16" t="s">
        <v>2117</v>
      </c>
      <c r="D6" s="16"/>
      <c r="F6" s="16" t="s">
        <v>2051</v>
      </c>
      <c r="H6" s="18" t="s">
        <v>2118</v>
      </c>
      <c r="J6" s="16" t="s">
        <v>119</v>
      </c>
      <c r="L6" s="18" t="s">
        <v>322</v>
      </c>
      <c r="M6" s="18" t="s">
        <v>2119</v>
      </c>
    </row>
    <row r="7" spans="3:13">
      <c r="H7" s="18" t="s">
        <v>2120</v>
      </c>
      <c r="J7" s="16" t="s">
        <v>185</v>
      </c>
      <c r="L7" s="16" t="s">
        <v>331</v>
      </c>
      <c r="M7" s="18" t="s">
        <v>332</v>
      </c>
    </row>
    <row r="8" spans="3:13">
      <c r="C8" s="16" t="s">
        <v>1170</v>
      </c>
      <c r="D8" s="16" t="s">
        <v>474</v>
      </c>
      <c r="F8" s="16" t="s">
        <v>2044</v>
      </c>
      <c r="H8" s="18" t="s">
        <v>2121</v>
      </c>
      <c r="J8" s="16" t="s">
        <v>350</v>
      </c>
      <c r="L8" s="16" t="s">
        <v>339</v>
      </c>
      <c r="M8" s="18" t="s">
        <v>2122</v>
      </c>
    </row>
    <row r="9" spans="3:13">
      <c r="C9" s="314">
        <v>4</v>
      </c>
      <c r="D9" s="16" t="s">
        <v>2123</v>
      </c>
      <c r="F9" s="16" t="s">
        <v>2045</v>
      </c>
      <c r="H9" s="18" t="s">
        <v>2124</v>
      </c>
      <c r="J9" s="16" t="s">
        <v>351</v>
      </c>
      <c r="L9" s="16" t="s">
        <v>335</v>
      </c>
      <c r="M9" s="18" t="s">
        <v>336</v>
      </c>
    </row>
    <row r="10" spans="3:13">
      <c r="C10" s="314">
        <v>2</v>
      </c>
      <c r="D10" s="16" t="s">
        <v>2125</v>
      </c>
      <c r="F10" s="16" t="s">
        <v>123</v>
      </c>
      <c r="H10" s="18" t="s">
        <v>2126</v>
      </c>
      <c r="J10" s="16" t="s">
        <v>732</v>
      </c>
      <c r="L10" s="16" t="s">
        <v>314</v>
      </c>
      <c r="M10" s="18" t="s">
        <v>315</v>
      </c>
    </row>
    <row r="11" spans="3:13">
      <c r="C11" s="314">
        <v>1</v>
      </c>
      <c r="D11" s="16" t="s">
        <v>2127</v>
      </c>
      <c r="F11" s="16" t="s">
        <v>2046</v>
      </c>
      <c r="H11" s="18" t="s">
        <v>2128</v>
      </c>
      <c r="J11" s="16" t="s">
        <v>751</v>
      </c>
      <c r="L11" s="18" t="s">
        <v>324</v>
      </c>
      <c r="M11" s="18" t="s">
        <v>2129</v>
      </c>
    </row>
    <row r="12" spans="3:13">
      <c r="C12" s="114">
        <v>0</v>
      </c>
      <c r="D12" s="16" t="s">
        <v>1182</v>
      </c>
      <c r="F12" s="16" t="s">
        <v>2047</v>
      </c>
      <c r="H12" s="8"/>
      <c r="J12" s="16" t="s">
        <v>217</v>
      </c>
      <c r="L12" s="18" t="s">
        <v>326</v>
      </c>
      <c r="M12" s="18" t="s">
        <v>2130</v>
      </c>
    </row>
    <row r="13" spans="3:13">
      <c r="F13" s="16" t="s">
        <v>343</v>
      </c>
      <c r="H13" s="16" t="s">
        <v>605</v>
      </c>
      <c r="J13" s="16" t="s">
        <v>643</v>
      </c>
      <c r="L13" s="18" t="s">
        <v>328</v>
      </c>
      <c r="M13" s="18" t="s">
        <v>329</v>
      </c>
    </row>
    <row r="14" spans="3:13" ht="29.1">
      <c r="C14" s="16" t="s">
        <v>2131</v>
      </c>
      <c r="H14" s="16" t="s">
        <v>612</v>
      </c>
      <c r="L14" s="18" t="s">
        <v>343</v>
      </c>
      <c r="M14" s="18" t="s">
        <v>2132</v>
      </c>
    </row>
    <row r="15" spans="3:13">
      <c r="C15" s="339" t="s">
        <v>2133</v>
      </c>
      <c r="F15" s="16" t="s">
        <v>2034</v>
      </c>
      <c r="H15" s="16" t="s">
        <v>617</v>
      </c>
      <c r="J15" s="18" t="s">
        <v>411</v>
      </c>
    </row>
    <row r="16" spans="3:13" ht="29.1">
      <c r="C16" s="340" t="s">
        <v>2134</v>
      </c>
      <c r="F16" s="18" t="s">
        <v>2035</v>
      </c>
      <c r="J16" s="18" t="s">
        <v>2135</v>
      </c>
      <c r="L16" s="16" t="s">
        <v>2136</v>
      </c>
      <c r="M16" s="16" t="s">
        <v>474</v>
      </c>
    </row>
    <row r="17" spans="3:13" ht="29.1">
      <c r="C17" s="341" t="s">
        <v>2137</v>
      </c>
      <c r="F17" s="18" t="s">
        <v>2036</v>
      </c>
      <c r="H17" s="16" t="s">
        <v>1170</v>
      </c>
      <c r="J17" s="16" t="s">
        <v>2138</v>
      </c>
      <c r="L17" s="16" t="s">
        <v>1215</v>
      </c>
      <c r="M17" s="16" t="s">
        <v>2139</v>
      </c>
    </row>
    <row r="18" spans="3:13" ht="57.95">
      <c r="C18" s="333" t="s">
        <v>2140</v>
      </c>
      <c r="F18" s="18" t="s">
        <v>2038</v>
      </c>
      <c r="H18" s="18" t="s">
        <v>1567</v>
      </c>
      <c r="J18" s="18" t="s">
        <v>2141</v>
      </c>
      <c r="L18" s="16" t="s">
        <v>2142</v>
      </c>
      <c r="M18" s="18" t="s">
        <v>2143</v>
      </c>
    </row>
    <row r="19" spans="3:13" ht="29.1">
      <c r="C19" s="342" t="s">
        <v>2144</v>
      </c>
      <c r="F19" s="18" t="s">
        <v>2037</v>
      </c>
      <c r="H19" s="16" t="s">
        <v>1563</v>
      </c>
      <c r="J19" s="18" t="s">
        <v>2145</v>
      </c>
      <c r="L19" s="16" t="s">
        <v>431</v>
      </c>
      <c r="M19" s="18" t="s">
        <v>2146</v>
      </c>
    </row>
    <row r="20" spans="3:13" ht="29.1">
      <c r="F20" s="18" t="s">
        <v>2039</v>
      </c>
      <c r="J20" s="18" t="s">
        <v>2064</v>
      </c>
      <c r="L20" s="16" t="s">
        <v>1216</v>
      </c>
      <c r="M20" s="18"/>
    </row>
    <row r="21" spans="3:13" ht="29.1">
      <c r="C21" s="16" t="s">
        <v>2147</v>
      </c>
      <c r="F21" s="18" t="s">
        <v>2040</v>
      </c>
      <c r="H21" s="16" t="s">
        <v>2148</v>
      </c>
      <c r="J21" s="18" t="s">
        <v>1660</v>
      </c>
      <c r="L21" s="16" t="s">
        <v>1182</v>
      </c>
      <c r="M21" s="18" t="s">
        <v>2149</v>
      </c>
    </row>
    <row r="22" spans="3:13" ht="29.1">
      <c r="C22" s="16" t="s">
        <v>2150</v>
      </c>
      <c r="F22" s="18" t="s">
        <v>2151</v>
      </c>
      <c r="H22" s="16" t="s">
        <v>2152</v>
      </c>
      <c r="J22" s="18" t="s">
        <v>1562</v>
      </c>
    </row>
    <row r="23" spans="3:13">
      <c r="C23" s="16" t="s">
        <v>2153</v>
      </c>
      <c r="F23" s="18" t="s">
        <v>2047</v>
      </c>
      <c r="H23" s="16" t="s">
        <v>2154</v>
      </c>
      <c r="J23" s="18" t="s">
        <v>1570</v>
      </c>
      <c r="L23" s="16" t="s">
        <v>2155</v>
      </c>
      <c r="M23" s="16" t="s">
        <v>474</v>
      </c>
    </row>
    <row r="24" spans="3:13">
      <c r="C24" s="16" t="s">
        <v>2156</v>
      </c>
      <c r="F24" s="18" t="s">
        <v>343</v>
      </c>
      <c r="J24" s="18" t="s">
        <v>413</v>
      </c>
      <c r="L24" s="16" t="s">
        <v>1215</v>
      </c>
      <c r="M24" s="18" t="s">
        <v>2139</v>
      </c>
    </row>
    <row r="25" spans="3:13" ht="29.1">
      <c r="C25" s="16" t="s">
        <v>2157</v>
      </c>
      <c r="H25" s="16" t="s">
        <v>2158</v>
      </c>
      <c r="L25" s="16" t="s">
        <v>1219</v>
      </c>
      <c r="M25" s="18" t="s">
        <v>2159</v>
      </c>
    </row>
    <row r="26" spans="3:13" ht="29.1">
      <c r="C26" s="16" t="s">
        <v>1992</v>
      </c>
      <c r="F26" s="16" t="s">
        <v>2160</v>
      </c>
      <c r="H26" s="16" t="s">
        <v>1564</v>
      </c>
      <c r="J26" s="16" t="s">
        <v>2161</v>
      </c>
      <c r="L26" s="16" t="s">
        <v>1218</v>
      </c>
      <c r="M26" s="18" t="s">
        <v>2162</v>
      </c>
    </row>
    <row r="27" spans="3:13" ht="29.1">
      <c r="C27" s="16" t="s">
        <v>2163</v>
      </c>
      <c r="F27" s="16" t="s">
        <v>1652</v>
      </c>
      <c r="H27" s="16" t="s">
        <v>1571</v>
      </c>
      <c r="J27" s="16" t="s">
        <v>2164</v>
      </c>
      <c r="L27" s="16" t="s">
        <v>2165</v>
      </c>
      <c r="M27" s="18" t="s">
        <v>2166</v>
      </c>
    </row>
    <row r="28" spans="3:13">
      <c r="C28" s="16" t="s">
        <v>2167</v>
      </c>
      <c r="F28" s="16" t="s">
        <v>1998</v>
      </c>
      <c r="J28" s="16" t="s">
        <v>2168</v>
      </c>
      <c r="L28" s="16" t="s">
        <v>1182</v>
      </c>
      <c r="M28" s="18" t="s">
        <v>2149</v>
      </c>
    </row>
    <row r="29" spans="3:13">
      <c r="J29" s="16" t="s">
        <v>2169</v>
      </c>
    </row>
    <row r="30" spans="3:13">
      <c r="C30" s="16" t="s">
        <v>1828</v>
      </c>
      <c r="F30" s="16" t="s">
        <v>414</v>
      </c>
      <c r="J30" s="16" t="s">
        <v>2170</v>
      </c>
      <c r="L30" s="16" t="s">
        <v>2171</v>
      </c>
      <c r="M30" s="16" t="s">
        <v>474</v>
      </c>
    </row>
    <row r="31" spans="3:13">
      <c r="C31" s="16" t="s">
        <v>2172</v>
      </c>
      <c r="F31" s="16" t="s">
        <v>317</v>
      </c>
      <c r="L31" s="16" t="s">
        <v>1569</v>
      </c>
      <c r="M31" s="16" t="s">
        <v>2173</v>
      </c>
    </row>
    <row r="32" spans="3:13">
      <c r="C32" s="16" t="s">
        <v>2174</v>
      </c>
      <c r="F32" s="16" t="s">
        <v>318</v>
      </c>
      <c r="L32" s="16" t="s">
        <v>1560</v>
      </c>
      <c r="M32" s="16" t="s">
        <v>2175</v>
      </c>
    </row>
    <row r="33" spans="3:13">
      <c r="C33" s="16" t="s">
        <v>1993</v>
      </c>
      <c r="F33" s="16" t="s">
        <v>921</v>
      </c>
    </row>
    <row r="34" spans="3:13">
      <c r="L34" s="16" t="s">
        <v>2176</v>
      </c>
      <c r="M34" s="16" t="s">
        <v>474</v>
      </c>
    </row>
    <row r="35" spans="3:13" ht="29.1">
      <c r="C35" s="16" t="s">
        <v>815</v>
      </c>
      <c r="L35" s="16" t="s">
        <v>1575</v>
      </c>
      <c r="M35" s="18" t="s">
        <v>2177</v>
      </c>
    </row>
    <row r="36" spans="3:13">
      <c r="C36" s="16" t="s">
        <v>475</v>
      </c>
      <c r="L36" s="16" t="s">
        <v>1561</v>
      </c>
      <c r="M36" s="18" t="s">
        <v>2178</v>
      </c>
    </row>
    <row r="37" spans="3:13" ht="29.1">
      <c r="C37" s="16" t="s">
        <v>476</v>
      </c>
      <c r="L37" s="16" t="s">
        <v>1566</v>
      </c>
      <c r="M37" s="18" t="s">
        <v>2179</v>
      </c>
    </row>
    <row r="38" spans="3:13">
      <c r="C38" s="16" t="s">
        <v>477</v>
      </c>
    </row>
    <row r="39" spans="3:13">
      <c r="C39" s="16" t="s">
        <v>478</v>
      </c>
    </row>
    <row r="40" spans="3:13">
      <c r="C40" s="16" t="s">
        <v>479</v>
      </c>
    </row>
    <row r="41" spans="3:13">
      <c r="C41" s="16" t="s">
        <v>480</v>
      </c>
    </row>
    <row r="42" spans="3:13">
      <c r="C42" s="16" t="s">
        <v>481</v>
      </c>
    </row>
    <row r="43" spans="3:13">
      <c r="C43" s="16" t="s">
        <v>482</v>
      </c>
    </row>
    <row r="44" spans="3:13">
      <c r="C44" s="16" t="s">
        <v>483</v>
      </c>
    </row>
    <row r="45" spans="3:13">
      <c r="C45" s="16" t="s">
        <v>484</v>
      </c>
    </row>
    <row r="46" spans="3:13">
      <c r="C46" s="16" t="s">
        <v>485</v>
      </c>
    </row>
    <row r="47" spans="3:13">
      <c r="C47" s="16" t="s">
        <v>486</v>
      </c>
    </row>
  </sheetData>
  <mergeCells count="4">
    <mergeCell ref="C2:E2"/>
    <mergeCell ref="F2:H2"/>
    <mergeCell ref="I2:K2"/>
    <mergeCell ref="L2:M2"/>
  </mergeCells>
  <phoneticPr fontId="65"/>
  <conditionalFormatting sqref="C9:C12">
    <cfRule type="iconSet" priority="1">
      <iconSet iconSet="4TrafficLights" showValue="0">
        <cfvo type="percent" val="0"/>
        <cfvo type="num" val="1"/>
        <cfvo type="num" val="2"/>
        <cfvo type="num" val="3"/>
      </iconSet>
    </cfRule>
  </conditionalFormatting>
  <pageMargins left="0.7" right="0.7" top="0.75" bottom="0.75" header="0.3" footer="0.3"/>
  <pageSetup orientation="portrait" r:id="rId1"/>
  <drawing r:id="rId2"/>
  <tableParts count="24">
    <tablePart r:id="rId3"/>
    <tablePart r:id="rId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0BDEB-5418-4808-81AF-D7E96D908728}">
  <dimension ref="A1:AE49"/>
  <sheetViews>
    <sheetView showGridLines="0" showRowColHeaders="0" zoomScaleNormal="100" workbookViewId="0">
      <selection activeCell="J45" sqref="J45"/>
    </sheetView>
  </sheetViews>
  <sheetFormatPr defaultColWidth="0" defaultRowHeight="14.45" customHeight="1" zeroHeight="1" outlineLevelRow="1"/>
  <cols>
    <col min="1" max="2" width="5.85546875" customWidth="1"/>
    <col min="3" max="4" width="3.85546875" customWidth="1"/>
    <col min="5" max="5" width="8.85546875" customWidth="1"/>
    <col min="6" max="6" width="77.140625" bestFit="1" customWidth="1"/>
    <col min="7" max="7" width="8.85546875" customWidth="1"/>
    <col min="8" max="10" width="3.85546875" customWidth="1"/>
    <col min="11" max="11" width="5.85546875" customWidth="1"/>
    <col min="12" max="31" width="0" hidden="1" customWidth="1"/>
    <col min="32" max="16384" width="8.85546875" hidden="1"/>
  </cols>
  <sheetData>
    <row r="1" spans="1:11">
      <c r="A1" s="4"/>
      <c r="B1" s="4"/>
      <c r="C1" s="4"/>
      <c r="D1" s="4"/>
      <c r="E1" s="4"/>
      <c r="F1" s="4"/>
      <c r="G1" s="4"/>
      <c r="H1" s="4"/>
      <c r="I1" s="4"/>
      <c r="J1" s="4"/>
      <c r="K1" s="4"/>
    </row>
    <row r="2" spans="1:11" ht="21">
      <c r="A2" s="4"/>
      <c r="B2" s="4"/>
      <c r="C2" s="501" t="s">
        <v>220</v>
      </c>
      <c r="D2" s="501"/>
      <c r="E2" s="501"/>
      <c r="F2" s="501"/>
      <c r="G2" s="501"/>
      <c r="H2" s="501"/>
      <c r="I2" s="501"/>
      <c r="J2" s="501"/>
      <c r="K2" s="4"/>
    </row>
    <row r="3" spans="1:11">
      <c r="A3" s="4"/>
      <c r="B3" s="4"/>
      <c r="C3" s="4"/>
      <c r="D3" s="4"/>
      <c r="E3" s="4"/>
      <c r="F3" s="4"/>
      <c r="G3" s="4"/>
      <c r="H3" s="4"/>
      <c r="I3" s="4"/>
      <c r="J3" s="4"/>
      <c r="K3" s="4"/>
    </row>
    <row r="4" spans="1:11">
      <c r="A4" s="4"/>
      <c r="B4" s="4"/>
      <c r="C4" s="4"/>
      <c r="D4" s="611" t="s">
        <v>221</v>
      </c>
      <c r="E4" s="612"/>
      <c r="F4" s="612"/>
      <c r="G4" s="612"/>
      <c r="H4" s="612"/>
      <c r="I4" s="612"/>
      <c r="J4" s="613"/>
      <c r="K4" s="62"/>
    </row>
    <row r="5" spans="1:11">
      <c r="A5" s="4"/>
      <c r="B5" s="4"/>
      <c r="C5" s="604" t="s">
        <v>222</v>
      </c>
      <c r="D5" s="605"/>
      <c r="E5" s="605"/>
      <c r="F5" s="605"/>
      <c r="G5" s="605"/>
      <c r="H5" s="605"/>
      <c r="I5" s="605"/>
      <c r="J5" s="133"/>
      <c r="K5" s="4"/>
    </row>
    <row r="6" spans="1:11">
      <c r="A6" s="4"/>
      <c r="B6" s="4"/>
      <c r="C6" s="133"/>
      <c r="D6" s="7"/>
      <c r="E6" s="7"/>
      <c r="F6" s="7"/>
      <c r="G6" s="7"/>
      <c r="H6" s="7"/>
      <c r="I6" s="134"/>
      <c r="J6" s="495"/>
      <c r="K6" s="4"/>
    </row>
    <row r="7" spans="1:11">
      <c r="A7" s="4"/>
      <c r="B7" s="4"/>
      <c r="C7" s="133"/>
      <c r="D7" s="7"/>
      <c r="E7" s="614" t="s">
        <v>13</v>
      </c>
      <c r="F7" s="614"/>
      <c r="G7" s="614"/>
      <c r="H7" s="64"/>
      <c r="I7" s="134"/>
      <c r="J7" s="495"/>
      <c r="K7" s="4"/>
    </row>
    <row r="8" spans="1:11">
      <c r="A8" s="4"/>
      <c r="B8" s="4"/>
      <c r="C8" s="133"/>
      <c r="D8" s="7"/>
      <c r="E8" s="7"/>
      <c r="F8" s="7"/>
      <c r="G8" s="7"/>
      <c r="H8" s="7"/>
      <c r="I8" s="134"/>
      <c r="J8" s="495"/>
      <c r="K8" s="4"/>
    </row>
    <row r="9" spans="1:11" ht="16.5">
      <c r="A9" s="4"/>
      <c r="B9" s="4"/>
      <c r="C9" s="133"/>
      <c r="D9" s="7"/>
      <c r="E9" s="619" t="s">
        <v>14</v>
      </c>
      <c r="F9" s="90" t="s">
        <v>223</v>
      </c>
      <c r="G9" s="348" t="s">
        <v>16</v>
      </c>
      <c r="H9" s="66"/>
      <c r="I9" s="134"/>
      <c r="J9" s="495"/>
      <c r="K9" s="4"/>
    </row>
    <row r="10" spans="1:11">
      <c r="A10" s="4"/>
      <c r="B10" s="4"/>
      <c r="C10" s="133"/>
      <c r="D10" s="7"/>
      <c r="E10" s="620"/>
      <c r="F10" s="90" t="s">
        <v>17</v>
      </c>
      <c r="G10" s="348" t="s">
        <v>16</v>
      </c>
      <c r="H10" s="66"/>
      <c r="I10" s="134"/>
      <c r="J10" s="495"/>
      <c r="K10" s="4"/>
    </row>
    <row r="11" spans="1:11" ht="16.5">
      <c r="A11" s="4"/>
      <c r="B11" s="4"/>
      <c r="C11" s="133"/>
      <c r="D11" s="7"/>
      <c r="E11" s="620"/>
      <c r="F11" s="90" t="s">
        <v>224</v>
      </c>
      <c r="G11" s="348" t="s">
        <v>16</v>
      </c>
      <c r="H11" s="66"/>
      <c r="I11" s="134"/>
      <c r="J11" s="495"/>
      <c r="K11" s="4"/>
    </row>
    <row r="12" spans="1:11" ht="16.5">
      <c r="A12" s="4"/>
      <c r="B12" s="4"/>
      <c r="C12" s="133"/>
      <c r="D12" s="7"/>
      <c r="E12" s="620"/>
      <c r="F12" s="90" t="s">
        <v>19</v>
      </c>
      <c r="G12" s="348" t="s">
        <v>16</v>
      </c>
      <c r="H12" s="66"/>
      <c r="I12" s="134"/>
      <c r="J12" s="495"/>
      <c r="K12" s="4"/>
    </row>
    <row r="13" spans="1:11">
      <c r="A13" s="4"/>
      <c r="B13" s="4"/>
      <c r="C13" s="133"/>
      <c r="D13" s="7"/>
      <c r="E13" s="620"/>
      <c r="F13" s="7" t="s">
        <v>225</v>
      </c>
      <c r="G13" s="622" t="s">
        <v>16</v>
      </c>
      <c r="H13" s="66"/>
      <c r="I13" s="134"/>
      <c r="J13" s="495"/>
      <c r="K13" s="4"/>
    </row>
    <row r="14" spans="1:11" ht="16.5">
      <c r="A14" s="4"/>
      <c r="B14" s="4"/>
      <c r="C14" s="133"/>
      <c r="D14" s="7"/>
      <c r="E14" s="620"/>
      <c r="F14" s="165" t="s">
        <v>226</v>
      </c>
      <c r="G14" s="622"/>
      <c r="H14" s="66"/>
      <c r="I14" s="134"/>
      <c r="J14" s="495"/>
      <c r="K14" s="4"/>
    </row>
    <row r="15" spans="1:11" ht="16.5">
      <c r="A15" s="4"/>
      <c r="B15" s="4"/>
      <c r="C15" s="133"/>
      <c r="D15" s="7"/>
      <c r="E15" s="621"/>
      <c r="F15" s="90" t="s">
        <v>227</v>
      </c>
      <c r="G15" s="348" t="s">
        <v>16</v>
      </c>
      <c r="H15" s="66"/>
      <c r="I15" s="134"/>
      <c r="J15" s="495"/>
      <c r="K15" s="4"/>
    </row>
    <row r="16" spans="1:11">
      <c r="A16" s="4"/>
      <c r="B16" s="4"/>
      <c r="C16" s="133"/>
      <c r="D16" s="7"/>
      <c r="E16" s="7"/>
      <c r="F16" s="66"/>
      <c r="G16" s="66"/>
      <c r="H16" s="65"/>
      <c r="I16" s="134"/>
      <c r="J16" s="495"/>
      <c r="K16" s="4"/>
    </row>
    <row r="17" spans="1:11">
      <c r="A17" s="4"/>
      <c r="B17" s="4"/>
      <c r="C17" s="133"/>
      <c r="D17" s="7"/>
      <c r="E17" s="7"/>
      <c r="F17" s="66"/>
      <c r="G17" s="66"/>
      <c r="H17" s="66"/>
      <c r="I17" s="134"/>
      <c r="J17" s="495"/>
      <c r="K17" s="4"/>
    </row>
    <row r="18" spans="1:11">
      <c r="A18" s="4"/>
      <c r="B18" s="4"/>
      <c r="C18" s="135"/>
      <c r="D18" s="162"/>
      <c r="E18" s="162"/>
      <c r="F18" s="162"/>
      <c r="G18" s="162"/>
      <c r="H18" s="162"/>
      <c r="I18" s="134"/>
      <c r="J18" s="495"/>
      <c r="K18" s="4"/>
    </row>
    <row r="19" spans="1:11">
      <c r="A19" s="4"/>
      <c r="B19" s="4"/>
      <c r="C19" s="133"/>
      <c r="D19" s="7"/>
      <c r="E19" s="7"/>
      <c r="F19" s="7"/>
      <c r="G19" s="7"/>
      <c r="H19" s="7"/>
      <c r="I19" s="134"/>
      <c r="J19" s="495"/>
      <c r="K19" s="4"/>
    </row>
    <row r="20" spans="1:11">
      <c r="A20" s="4"/>
      <c r="B20" s="4"/>
      <c r="C20" s="133"/>
      <c r="D20" s="64"/>
      <c r="E20" s="492" t="s">
        <v>29</v>
      </c>
      <c r="F20" s="492"/>
      <c r="G20" s="492"/>
      <c r="H20" s="64"/>
      <c r="I20" s="134"/>
      <c r="J20" s="495"/>
      <c r="K20" s="4"/>
    </row>
    <row r="21" spans="1:11">
      <c r="A21" s="4"/>
      <c r="B21" s="4"/>
      <c r="C21" s="133"/>
      <c r="D21" s="7"/>
      <c r="E21" s="7"/>
      <c r="F21" s="7"/>
      <c r="G21" s="7"/>
      <c r="H21" s="7"/>
      <c r="I21" s="134"/>
      <c r="J21" s="495"/>
      <c r="K21" s="4"/>
    </row>
    <row r="22" spans="1:11" ht="14.45" customHeight="1">
      <c r="A22" s="4"/>
      <c r="B22" s="4"/>
      <c r="C22" s="133"/>
      <c r="D22" s="7"/>
      <c r="E22" s="623" t="s">
        <v>32</v>
      </c>
      <c r="F22" s="164" t="s">
        <v>228</v>
      </c>
      <c r="G22" s="366" t="s">
        <v>16</v>
      </c>
      <c r="H22" s="7"/>
      <c r="I22" s="134"/>
      <c r="J22" s="495"/>
      <c r="K22" s="4"/>
    </row>
    <row r="23" spans="1:11">
      <c r="A23" s="4"/>
      <c r="B23" s="4"/>
      <c r="C23" s="133"/>
      <c r="D23" s="7"/>
      <c r="E23" s="623"/>
      <c r="F23" s="82" t="s">
        <v>229</v>
      </c>
      <c r="G23" s="592" t="s">
        <v>16</v>
      </c>
      <c r="H23" s="7"/>
      <c r="I23" s="134"/>
      <c r="J23" s="495"/>
      <c r="K23" s="4"/>
    </row>
    <row r="24" spans="1:11" ht="14.45" customHeight="1">
      <c r="A24" s="4"/>
      <c r="B24" s="4"/>
      <c r="C24" s="133"/>
      <c r="D24" s="7"/>
      <c r="E24" s="623"/>
      <c r="F24" s="166" t="s">
        <v>226</v>
      </c>
      <c r="G24" s="593"/>
      <c r="H24" s="7"/>
      <c r="I24" s="134"/>
      <c r="J24" s="495"/>
      <c r="K24" s="4"/>
    </row>
    <row r="25" spans="1:11" ht="16.5">
      <c r="A25" s="4"/>
      <c r="B25" s="4"/>
      <c r="C25" s="133"/>
      <c r="D25" s="7"/>
      <c r="E25" s="623"/>
      <c r="F25" s="166" t="s">
        <v>230</v>
      </c>
      <c r="G25" s="498" t="s">
        <v>16</v>
      </c>
      <c r="H25" s="7"/>
      <c r="I25" s="134"/>
      <c r="J25" s="495"/>
      <c r="K25" s="4"/>
    </row>
    <row r="26" spans="1:11" ht="16.5">
      <c r="A26" s="4"/>
      <c r="B26" s="4"/>
      <c r="C26" s="133"/>
      <c r="D26" s="7"/>
      <c r="E26" s="623"/>
      <c r="F26" s="91" t="s">
        <v>231</v>
      </c>
      <c r="G26" s="366" t="s">
        <v>16</v>
      </c>
      <c r="H26" s="7"/>
      <c r="I26" s="134"/>
      <c r="J26" s="495"/>
      <c r="K26" s="4"/>
    </row>
    <row r="27" spans="1:11" ht="16.5">
      <c r="A27" s="4"/>
      <c r="B27" s="4"/>
      <c r="C27" s="133"/>
      <c r="D27" s="7"/>
      <c r="E27" s="623"/>
      <c r="F27" s="91" t="s">
        <v>48</v>
      </c>
      <c r="G27" s="366" t="s">
        <v>16</v>
      </c>
      <c r="H27" s="7"/>
      <c r="I27" s="134"/>
      <c r="J27" s="495"/>
      <c r="K27" s="4"/>
    </row>
    <row r="28" spans="1:11" ht="16.5">
      <c r="A28" s="4"/>
      <c r="B28" s="4"/>
      <c r="C28" s="133"/>
      <c r="D28" s="7"/>
      <c r="E28" s="623"/>
      <c r="F28" s="91" t="s">
        <v>232</v>
      </c>
      <c r="G28" s="366" t="s">
        <v>16</v>
      </c>
      <c r="H28" s="7"/>
      <c r="I28" s="134"/>
      <c r="J28" s="495"/>
      <c r="K28" s="4"/>
    </row>
    <row r="29" spans="1:11">
      <c r="A29" s="4"/>
      <c r="B29" s="4"/>
      <c r="C29" s="133"/>
      <c r="D29" s="7"/>
      <c r="E29" s="623"/>
      <c r="F29" s="91" t="s">
        <v>54</v>
      </c>
      <c r="G29" s="366" t="s">
        <v>16</v>
      </c>
      <c r="H29" s="7"/>
      <c r="I29" s="134"/>
      <c r="J29" s="495"/>
      <c r="K29" s="4"/>
    </row>
    <row r="30" spans="1:11">
      <c r="A30" s="4"/>
      <c r="B30" s="4"/>
      <c r="C30" s="133"/>
      <c r="D30" s="7"/>
      <c r="E30" s="7"/>
      <c r="F30" s="65"/>
      <c r="G30" s="7"/>
      <c r="H30" s="7"/>
      <c r="I30" s="136"/>
      <c r="J30" s="496"/>
      <c r="K30" s="4"/>
    </row>
    <row r="31" spans="1:11">
      <c r="A31" s="4"/>
      <c r="B31" s="4"/>
      <c r="C31" s="133"/>
      <c r="D31" s="162"/>
      <c r="E31" s="162"/>
      <c r="F31" s="162"/>
      <c r="G31" s="162"/>
      <c r="H31" s="162"/>
      <c r="I31" s="136"/>
      <c r="J31" s="496"/>
      <c r="K31" s="4"/>
    </row>
    <row r="32" spans="1:11">
      <c r="A32" s="4"/>
      <c r="B32" s="4"/>
      <c r="C32" s="133"/>
      <c r="D32" s="7"/>
      <c r="E32" s="7"/>
      <c r="F32" s="7"/>
      <c r="G32" s="7"/>
      <c r="H32" s="7"/>
      <c r="I32" s="136"/>
      <c r="J32" s="496"/>
      <c r="K32" s="4"/>
    </row>
    <row r="33" spans="1:11">
      <c r="A33" s="4"/>
      <c r="B33" s="4"/>
      <c r="C33" s="133"/>
      <c r="D33" s="7"/>
      <c r="E33" s="492" t="s">
        <v>62</v>
      </c>
      <c r="F33" s="492"/>
      <c r="G33" s="492"/>
      <c r="H33" s="7"/>
      <c r="I33" s="136"/>
      <c r="J33" s="496"/>
      <c r="K33" s="4"/>
    </row>
    <row r="34" spans="1:11" ht="14.45" customHeight="1">
      <c r="A34" s="4"/>
      <c r="B34" s="4"/>
      <c r="C34" s="133"/>
      <c r="D34" s="64"/>
      <c r="E34" s="7"/>
      <c r="F34" s="7"/>
      <c r="G34" s="7"/>
      <c r="H34" s="64"/>
      <c r="I34" s="134"/>
      <c r="J34" s="495"/>
      <c r="K34" s="4"/>
    </row>
    <row r="35" spans="1:11" ht="14.45" customHeight="1">
      <c r="A35" s="4"/>
      <c r="B35" s="4"/>
      <c r="C35" s="135"/>
      <c r="D35" s="7"/>
      <c r="E35" s="597" t="s">
        <v>233</v>
      </c>
      <c r="F35" s="163" t="s">
        <v>234</v>
      </c>
      <c r="G35" s="368" t="s">
        <v>16</v>
      </c>
      <c r="H35" s="7"/>
      <c r="I35" s="134"/>
      <c r="J35" s="495"/>
      <c r="K35" s="4"/>
    </row>
    <row r="36" spans="1:11" ht="15.6" customHeight="1">
      <c r="A36" s="4"/>
      <c r="B36" s="4"/>
      <c r="C36" s="133"/>
      <c r="D36" s="7"/>
      <c r="E36" s="598"/>
      <c r="F36" s="163" t="s">
        <v>235</v>
      </c>
      <c r="G36" s="368" t="s">
        <v>16</v>
      </c>
      <c r="H36" s="7"/>
      <c r="I36" s="134"/>
      <c r="J36" s="495"/>
      <c r="K36" s="4"/>
    </row>
    <row r="37" spans="1:11" ht="14.45" customHeight="1">
      <c r="A37" s="4"/>
      <c r="B37" s="4"/>
      <c r="C37" s="133"/>
      <c r="D37" s="7"/>
      <c r="E37" s="598"/>
      <c r="F37" s="163" t="s">
        <v>236</v>
      </c>
      <c r="G37" s="368" t="s">
        <v>16</v>
      </c>
      <c r="H37" s="7"/>
      <c r="I37" s="134"/>
      <c r="J37" s="495"/>
      <c r="K37" s="4"/>
    </row>
    <row r="38" spans="1:11" ht="14.45" customHeight="1">
      <c r="A38" s="4"/>
      <c r="B38" s="4"/>
      <c r="C38" s="133"/>
      <c r="D38" s="7"/>
      <c r="E38" s="598"/>
      <c r="F38" s="163" t="s">
        <v>237</v>
      </c>
      <c r="G38" s="368" t="s">
        <v>16</v>
      </c>
      <c r="H38" s="7"/>
      <c r="I38" s="134"/>
      <c r="J38" s="495"/>
      <c r="K38" s="4"/>
    </row>
    <row r="39" spans="1:11" ht="15.6" customHeight="1">
      <c r="A39" s="4"/>
      <c r="B39" s="4"/>
      <c r="C39" s="133"/>
      <c r="D39" s="7"/>
      <c r="E39" s="599"/>
      <c r="F39" s="163" t="s">
        <v>75</v>
      </c>
      <c r="G39" s="368" t="s">
        <v>16</v>
      </c>
      <c r="H39" s="7"/>
      <c r="I39" s="134"/>
      <c r="J39" s="495"/>
      <c r="K39" s="4"/>
    </row>
    <row r="40" spans="1:11" ht="14.45" customHeight="1">
      <c r="A40" s="4"/>
      <c r="B40" s="4"/>
      <c r="C40" s="133"/>
      <c r="D40" s="7"/>
      <c r="E40" s="7"/>
      <c r="F40" s="7"/>
      <c r="G40" s="7"/>
      <c r="H40" s="7"/>
      <c r="I40" s="134"/>
      <c r="J40" s="495"/>
      <c r="K40" s="4"/>
    </row>
    <row r="41" spans="1:11">
      <c r="A41" s="4"/>
      <c r="B41" s="4"/>
      <c r="C41" s="133"/>
      <c r="D41" s="7"/>
      <c r="E41" s="7"/>
      <c r="F41" s="7"/>
      <c r="G41" s="7"/>
      <c r="H41" s="7"/>
      <c r="I41" s="134"/>
      <c r="J41" s="495"/>
      <c r="K41" s="4"/>
    </row>
    <row r="42" spans="1:11">
      <c r="A42" s="4"/>
      <c r="B42" s="4"/>
      <c r="C42" s="133"/>
      <c r="D42" s="7"/>
      <c r="E42" s="7"/>
      <c r="F42" s="7"/>
      <c r="G42" s="7"/>
      <c r="H42" s="7"/>
      <c r="I42" s="134"/>
      <c r="J42" s="497"/>
      <c r="K42" s="68"/>
    </row>
    <row r="43" spans="1:11">
      <c r="A43" s="4"/>
      <c r="B43" s="4"/>
      <c r="C43" s="137"/>
      <c r="D43" s="138"/>
      <c r="E43" s="138"/>
      <c r="F43" s="138"/>
      <c r="G43" s="138"/>
      <c r="H43" s="138"/>
      <c r="I43" s="139"/>
      <c r="J43" s="494"/>
      <c r="K43" s="4"/>
    </row>
    <row r="44" spans="1:11">
      <c r="A44" s="4"/>
      <c r="B44" s="4"/>
      <c r="C44" s="4"/>
      <c r="D44" s="4"/>
      <c r="E44" s="4"/>
      <c r="F44" s="4"/>
      <c r="G44" s="4"/>
      <c r="H44" s="4"/>
      <c r="I44" s="4"/>
      <c r="J44" s="4"/>
      <c r="K44" s="4"/>
    </row>
    <row r="45" spans="1:11" s="123" customFormat="1" ht="13.7" customHeight="1">
      <c r="A45" s="102"/>
      <c r="B45" s="102"/>
      <c r="C45" s="102" t="s">
        <v>78</v>
      </c>
      <c r="D45" s="102"/>
      <c r="E45" s="102"/>
      <c r="F45" s="102"/>
      <c r="G45" s="102"/>
      <c r="H45" s="102"/>
      <c r="I45" s="102"/>
      <c r="J45" s="102"/>
      <c r="K45" s="102"/>
    </row>
    <row r="46" spans="1:11" ht="14.45" customHeight="1" outlineLevel="1">
      <c r="A46" s="102"/>
      <c r="B46" s="102"/>
      <c r="C46" s="102"/>
      <c r="D46" s="102"/>
      <c r="E46" s="102"/>
      <c r="F46" s="102"/>
      <c r="G46" s="102"/>
      <c r="H46" s="102"/>
      <c r="I46" s="102"/>
      <c r="J46" s="102"/>
      <c r="K46" s="102"/>
    </row>
    <row r="47" spans="1:11" ht="14.45" customHeight="1" outlineLevel="1">
      <c r="A47" s="102"/>
      <c r="B47" s="102"/>
      <c r="C47" s="168">
        <v>1</v>
      </c>
      <c r="D47" s="69" t="s">
        <v>83</v>
      </c>
      <c r="E47" s="131"/>
      <c r="F47" s="131"/>
      <c r="G47" s="131"/>
      <c r="H47" s="131"/>
      <c r="I47" s="131"/>
      <c r="J47" s="131"/>
      <c r="K47" s="102"/>
    </row>
    <row r="48" spans="1:11" ht="14.45" customHeight="1" outlineLevel="1">
      <c r="A48" s="102"/>
      <c r="B48" s="102"/>
      <c r="C48" s="168">
        <v>2</v>
      </c>
      <c r="D48" s="69" t="s">
        <v>238</v>
      </c>
      <c r="E48" s="131"/>
      <c r="F48" s="131"/>
      <c r="G48" s="131"/>
      <c r="H48" s="131"/>
      <c r="I48" s="131"/>
      <c r="J48" s="131"/>
      <c r="K48" s="102"/>
    </row>
    <row r="49" spans="1:11">
      <c r="A49" s="4"/>
      <c r="B49" s="4"/>
      <c r="C49" s="4"/>
      <c r="D49" s="4"/>
      <c r="E49" s="4"/>
      <c r="F49" s="4"/>
      <c r="G49" s="4"/>
      <c r="H49" s="4"/>
      <c r="I49" s="4"/>
      <c r="J49" s="4"/>
      <c r="K49" s="4"/>
    </row>
  </sheetData>
  <mergeCells count="8">
    <mergeCell ref="E35:E39"/>
    <mergeCell ref="D4:J4"/>
    <mergeCell ref="C5:I5"/>
    <mergeCell ref="E7:G7"/>
    <mergeCell ref="E9:E15"/>
    <mergeCell ref="G13:G14"/>
    <mergeCell ref="E22:E29"/>
    <mergeCell ref="G23:G24"/>
  </mergeCells>
  <phoneticPr fontId="65"/>
  <hyperlinks>
    <hyperlink ref="G9" location="'2 App Requirements'!A1" display="example" xr:uid="{1C6EA7A2-EA8B-4A36-A04F-67DDB7851694}"/>
    <hyperlink ref="G22" location="'3 Response Plan'!A1" display="example" xr:uid="{50E7CDA9-C531-456E-96D7-CB942B34E5C0}"/>
    <hyperlink ref="G35" location="'4 Test Summary'!A1" display="example" xr:uid="{E4AD7533-2D5C-4A33-8AAB-71FB718DF9C7}"/>
    <hyperlink ref="G13:G14" location="'2 Architecture Resilience | Gap'!A1" display="example" xr:uid="{ED467AEE-759B-44D7-8BB4-CC80160D955B}"/>
    <hyperlink ref="G10" location="'2 Service Map'!A1" display="example" xr:uid="{7B54C7B1-750F-4CB1-9C1B-3979E2C74A25}"/>
    <hyperlink ref="G11" location="'2 BIA'!A1" display="example" xr:uid="{285A5E9F-40A8-492D-A7A9-5BD24F561844}"/>
    <hyperlink ref="G15" location="'2 Metric Analysis (-BCDR)'!A1" display="example" xr:uid="{57816BD9-5D65-4CAC-9588-75B36AA31A46}"/>
    <hyperlink ref="G23:G24" location="'3 Architecture | BCDR Design'!A1" display="example" xr:uid="{36203E9F-6A26-47BF-BFB4-19515C6B0EB5}"/>
    <hyperlink ref="G12" location="'2 Fault Tree Analysis (-BCDR)'!A1" display="example" xr:uid="{5B3EA4CD-2BBB-4E0A-9C84-9659A9AE329C}"/>
    <hyperlink ref="G25" location="'3 Cost Comparison'!A1" display="example" xr:uid="{C5E4D401-8444-49C4-A5D5-1A3E14FB0C67}"/>
    <hyperlink ref="G26" location="'3 Metric Comparison'!A1" display="example" xr:uid="{2917F451-0C71-4352-8936-A74D2470173D}"/>
    <hyperlink ref="G27" location="'3 Fault Tree Analysis (+BCDR)'!A1" display="example" xr:uid="{F0BB5933-A004-4333-A28D-8A1ACBC2300C}"/>
    <hyperlink ref="G28" location="'3 Contingency Plan'!A1" display="example" xr:uid="{2B3B4D7A-965F-4EC3-AE58-AF6C8057E64F}"/>
    <hyperlink ref="G29" location="'3 Role Assignment'!A1" display="example" xr:uid="{A33A9B96-41C9-4577-B500-563F16EC56A3}"/>
    <hyperlink ref="G36" location="'4. Test Plan (Failover)'!A1" display="example" xr:uid="{EA34656C-EB88-4662-8B9F-9FCE15AA3BD7}"/>
    <hyperlink ref="G37" location="'4. Test Plan (UAT)'!A1" display="example" xr:uid="{A79257C4-E4B8-4240-A5C4-2FF636BE5773}"/>
    <hyperlink ref="G38" location="'4 App Outage Communication'!A1" display="example" xr:uid="{1FA16403-DDA8-4C8E-A3CA-0391C95C7BBF}"/>
    <hyperlink ref="G39" location="'4 Maintain ACP'!A1" display="example" xr:uid="{00B126FA-9219-4AD9-9CB7-697C51D15B61}"/>
  </hyperlink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2AED82-EB58-4D04-B9B2-D3F971C385EE}">
  <dimension ref="A1:AE26"/>
  <sheetViews>
    <sheetView showGridLines="0" showRowColHeaders="0" zoomScaleNormal="100" workbookViewId="0">
      <selection activeCell="B10" sqref="B10"/>
    </sheetView>
  </sheetViews>
  <sheetFormatPr defaultColWidth="0" defaultRowHeight="14.45" customHeight="1" zeroHeight="1" outlineLevelRow="1"/>
  <cols>
    <col min="1" max="2" width="5.85546875" customWidth="1"/>
    <col min="3" max="5" width="3.85546875" customWidth="1"/>
    <col min="6" max="6" width="8.85546875" customWidth="1"/>
    <col min="7" max="7" width="48.42578125" bestFit="1" customWidth="1"/>
    <col min="8" max="8" width="13.42578125" bestFit="1" customWidth="1"/>
    <col min="9" max="10" width="3.85546875" customWidth="1"/>
    <col min="11" max="11" width="5.85546875" customWidth="1"/>
    <col min="12" max="31" width="0" hidden="1" customWidth="1"/>
    <col min="32" max="16384" width="8.85546875" hidden="1"/>
  </cols>
  <sheetData>
    <row r="1" spans="1:11">
      <c r="A1" s="4"/>
      <c r="B1" s="4"/>
      <c r="C1" s="4"/>
      <c r="D1" s="4"/>
      <c r="E1" s="4"/>
      <c r="F1" s="4"/>
      <c r="G1" s="4"/>
      <c r="H1" s="4"/>
      <c r="I1" s="4"/>
      <c r="J1" s="4"/>
      <c r="K1" s="4"/>
    </row>
    <row r="2" spans="1:11" ht="21">
      <c r="A2" s="4"/>
      <c r="B2" s="4"/>
      <c r="C2" s="577"/>
      <c r="D2" s="607" t="s">
        <v>239</v>
      </c>
      <c r="E2" s="607"/>
      <c r="F2" s="607"/>
      <c r="G2" s="607"/>
      <c r="H2" s="607"/>
      <c r="I2" s="607"/>
      <c r="J2" s="607"/>
      <c r="K2" s="4"/>
    </row>
    <row r="3" spans="1:11">
      <c r="A3" s="4"/>
      <c r="B3" s="4"/>
      <c r="C3" s="4"/>
      <c r="D3" s="4"/>
      <c r="E3" s="4"/>
      <c r="F3" s="4"/>
      <c r="G3" s="4"/>
      <c r="H3" s="4"/>
      <c r="I3" s="4"/>
      <c r="J3" s="4"/>
      <c r="K3" s="4"/>
    </row>
    <row r="4" spans="1:11">
      <c r="A4" s="4"/>
      <c r="B4" s="4"/>
      <c r="C4" s="4"/>
      <c r="D4" s="162"/>
      <c r="E4" s="162"/>
      <c r="F4" s="162"/>
      <c r="G4" s="162"/>
      <c r="H4" s="162"/>
      <c r="I4" s="162"/>
      <c r="J4" s="162"/>
      <c r="K4" s="4"/>
    </row>
    <row r="5" spans="1:11">
      <c r="A5" s="4"/>
      <c r="B5" s="4"/>
      <c r="C5" s="4"/>
      <c r="D5" s="162"/>
      <c r="E5" s="7"/>
      <c r="F5" s="7"/>
      <c r="G5" s="7"/>
      <c r="H5" s="7"/>
      <c r="I5" s="7"/>
      <c r="J5" s="162"/>
      <c r="K5" s="4"/>
    </row>
    <row r="6" spans="1:11">
      <c r="A6" s="4"/>
      <c r="B6" s="4"/>
      <c r="C6" s="4"/>
      <c r="D6" s="162"/>
      <c r="E6" s="7"/>
      <c r="F6" s="603" t="s">
        <v>240</v>
      </c>
      <c r="G6" s="603"/>
      <c r="H6" s="603"/>
      <c r="I6" s="7"/>
      <c r="J6" s="162"/>
      <c r="K6" s="4"/>
    </row>
    <row r="7" spans="1:11">
      <c r="A7" s="4"/>
      <c r="B7" s="4"/>
      <c r="C7" s="4"/>
      <c r="D7" s="162"/>
      <c r="E7" s="7"/>
      <c r="F7" s="7"/>
      <c r="G7" s="7"/>
      <c r="H7" s="7"/>
      <c r="I7" s="7"/>
      <c r="J7" s="162"/>
      <c r="K7" s="4"/>
    </row>
    <row r="8" spans="1:11">
      <c r="A8" s="4"/>
      <c r="B8" s="4"/>
      <c r="C8" s="4"/>
      <c r="D8" s="162"/>
      <c r="E8" s="7"/>
      <c r="F8" s="7"/>
      <c r="G8" s="7"/>
      <c r="H8" s="7"/>
      <c r="I8" s="349"/>
      <c r="J8" s="162"/>
      <c r="K8" s="4"/>
    </row>
    <row r="9" spans="1:11">
      <c r="A9" s="4"/>
      <c r="B9" s="4"/>
      <c r="C9" s="4"/>
      <c r="D9" s="162"/>
      <c r="E9" s="7"/>
      <c r="F9" s="7"/>
      <c r="G9" s="7"/>
      <c r="H9" s="7"/>
      <c r="I9" s="349"/>
      <c r="J9" s="162"/>
      <c r="K9" s="4"/>
    </row>
    <row r="10" spans="1:11" ht="14.45" customHeight="1">
      <c r="A10" s="4"/>
      <c r="B10" s="4"/>
      <c r="C10" s="4"/>
      <c r="D10" s="162"/>
      <c r="E10" s="7"/>
      <c r="F10" s="624" t="s">
        <v>36</v>
      </c>
      <c r="G10" s="351" t="s">
        <v>241</v>
      </c>
      <c r="H10" s="359" t="s">
        <v>38</v>
      </c>
      <c r="I10" s="350"/>
      <c r="J10" s="162"/>
      <c r="K10" s="4"/>
    </row>
    <row r="11" spans="1:11">
      <c r="A11" s="4"/>
      <c r="B11" s="4"/>
      <c r="C11" s="68"/>
      <c r="D11" s="162"/>
      <c r="E11" s="7"/>
      <c r="F11" s="624"/>
      <c r="G11" s="351" t="s">
        <v>40</v>
      </c>
      <c r="H11" s="359" t="s">
        <v>16</v>
      </c>
      <c r="I11" s="350"/>
      <c r="J11" s="162"/>
      <c r="K11" s="4"/>
    </row>
    <row r="12" spans="1:11" ht="14.45" customHeight="1">
      <c r="A12" s="4"/>
      <c r="B12" s="4"/>
      <c r="C12" s="68"/>
      <c r="D12" s="162"/>
      <c r="E12" s="7"/>
      <c r="F12" s="624"/>
      <c r="G12" s="351" t="s">
        <v>242</v>
      </c>
      <c r="H12" s="359" t="s">
        <v>16</v>
      </c>
      <c r="I12" s="350"/>
      <c r="J12" s="162"/>
      <c r="K12" s="4"/>
    </row>
    <row r="13" spans="1:11">
      <c r="A13" s="4"/>
      <c r="B13" s="4"/>
      <c r="C13" s="4"/>
      <c r="D13" s="162"/>
      <c r="E13" s="7"/>
      <c r="F13" s="624"/>
      <c r="G13" s="351" t="s">
        <v>46</v>
      </c>
      <c r="H13" s="360" t="s">
        <v>16</v>
      </c>
      <c r="I13" s="350"/>
      <c r="J13" s="162"/>
      <c r="K13" s="4"/>
    </row>
    <row r="14" spans="1:11">
      <c r="A14" s="4"/>
      <c r="B14" s="4"/>
      <c r="C14" s="4"/>
      <c r="D14" s="162"/>
      <c r="E14" s="7"/>
      <c r="F14" s="624"/>
      <c r="G14" s="351" t="s">
        <v>49</v>
      </c>
      <c r="H14" s="360" t="s">
        <v>16</v>
      </c>
      <c r="I14" s="350"/>
      <c r="J14" s="162"/>
      <c r="K14" s="4"/>
    </row>
    <row r="15" spans="1:11">
      <c r="A15" s="4"/>
      <c r="B15" s="4"/>
      <c r="C15" s="4"/>
      <c r="D15" s="162"/>
      <c r="E15" s="7"/>
      <c r="F15" s="624"/>
      <c r="G15" s="351" t="s">
        <v>52</v>
      </c>
      <c r="H15" s="360" t="s">
        <v>16</v>
      </c>
      <c r="I15" s="350"/>
      <c r="J15" s="162"/>
      <c r="K15" s="4"/>
    </row>
    <row r="16" spans="1:11">
      <c r="A16" s="4"/>
      <c r="B16" s="4"/>
      <c r="C16" s="4"/>
      <c r="D16" s="162"/>
      <c r="E16" s="7"/>
      <c r="F16" s="624"/>
      <c r="G16" s="351" t="s">
        <v>55</v>
      </c>
      <c r="H16" s="360" t="s">
        <v>16</v>
      </c>
      <c r="I16" s="350"/>
      <c r="J16" s="162"/>
      <c r="K16" s="4"/>
    </row>
    <row r="17" spans="1:11">
      <c r="A17" s="4"/>
      <c r="B17" s="4"/>
      <c r="C17" s="4"/>
      <c r="D17" s="162"/>
      <c r="E17" s="7"/>
      <c r="F17" s="352"/>
      <c r="G17" s="7"/>
      <c r="H17" s="7"/>
      <c r="I17" s="350"/>
      <c r="J17" s="162"/>
      <c r="K17" s="4"/>
    </row>
    <row r="18" spans="1:11">
      <c r="A18" s="4"/>
      <c r="B18" s="4"/>
      <c r="C18" s="4"/>
      <c r="D18" s="162"/>
      <c r="E18" s="7"/>
      <c r="F18" s="352"/>
      <c r="G18" s="7"/>
      <c r="H18" s="7"/>
      <c r="I18" s="350"/>
      <c r="J18" s="162"/>
      <c r="K18" s="4"/>
    </row>
    <row r="19" spans="1:11">
      <c r="A19" s="4"/>
      <c r="B19" s="4"/>
      <c r="C19" s="4"/>
      <c r="D19" s="162"/>
      <c r="E19" s="7"/>
      <c r="F19" s="352"/>
      <c r="G19" s="7"/>
      <c r="H19" s="7"/>
      <c r="I19" s="350"/>
      <c r="J19" s="162"/>
      <c r="K19" s="4"/>
    </row>
    <row r="20" spans="1:11">
      <c r="A20" s="4"/>
      <c r="B20" s="4"/>
      <c r="C20" s="4"/>
      <c r="D20" s="162"/>
      <c r="E20" s="162"/>
      <c r="F20" s="162"/>
      <c r="G20" s="162"/>
      <c r="H20" s="162"/>
      <c r="I20" s="162"/>
      <c r="J20" s="162"/>
      <c r="K20" s="4"/>
    </row>
    <row r="21" spans="1:11">
      <c r="A21" s="4"/>
      <c r="B21" s="4"/>
      <c r="C21" s="4"/>
      <c r="D21" s="4"/>
      <c r="E21" s="4"/>
      <c r="F21" s="4"/>
      <c r="G21" s="4"/>
      <c r="H21" s="4"/>
      <c r="I21" s="4"/>
      <c r="J21" s="4"/>
      <c r="K21" s="4"/>
    </row>
    <row r="22" spans="1:11" ht="14.45" customHeight="1">
      <c r="A22" s="102"/>
      <c r="B22" s="102"/>
      <c r="C22" s="102" t="s">
        <v>78</v>
      </c>
      <c r="D22" s="102"/>
      <c r="E22" s="102"/>
      <c r="F22" s="102"/>
      <c r="G22" s="102"/>
      <c r="H22" s="102"/>
      <c r="I22" s="102"/>
      <c r="J22" s="102"/>
      <c r="K22" s="102"/>
    </row>
    <row r="23" spans="1:11" ht="14.45" customHeight="1" outlineLevel="1">
      <c r="A23" s="102"/>
      <c r="B23" s="102"/>
      <c r="C23" s="102"/>
      <c r="D23" s="102"/>
      <c r="E23" s="102"/>
      <c r="F23" s="102"/>
      <c r="G23" s="102"/>
      <c r="H23" s="102"/>
      <c r="I23" s="102"/>
      <c r="J23" s="102"/>
      <c r="K23" s="102"/>
    </row>
    <row r="24" spans="1:11" ht="14.45" customHeight="1" outlineLevel="1">
      <c r="A24" s="102"/>
      <c r="B24" s="102"/>
      <c r="C24" s="168">
        <v>1</v>
      </c>
      <c r="D24" s="69" t="s">
        <v>84</v>
      </c>
      <c r="E24" s="131"/>
      <c r="F24" s="131"/>
      <c r="G24" s="131"/>
      <c r="H24" s="131"/>
      <c r="I24" s="131"/>
      <c r="J24" s="131"/>
      <c r="K24" s="102"/>
    </row>
    <row r="25" spans="1:11" ht="14.45" customHeight="1" outlineLevel="1">
      <c r="A25" s="102"/>
      <c r="B25" s="102"/>
      <c r="C25" s="168">
        <v>2</v>
      </c>
      <c r="D25" s="69" t="s">
        <v>243</v>
      </c>
      <c r="E25" s="131"/>
      <c r="F25" s="131"/>
      <c r="G25" s="131"/>
      <c r="H25" s="131"/>
      <c r="I25" s="131"/>
      <c r="J25" s="131"/>
      <c r="K25" s="102"/>
    </row>
    <row r="26" spans="1:11">
      <c r="A26" s="4"/>
      <c r="B26" s="4"/>
      <c r="C26" s="4"/>
      <c r="D26" s="4"/>
      <c r="E26" s="4"/>
      <c r="F26" s="4"/>
      <c r="G26" s="4"/>
      <c r="H26" s="4"/>
      <c r="I26" s="4"/>
      <c r="J26" s="4"/>
      <c r="K26" s="4"/>
    </row>
  </sheetData>
  <mergeCells count="3">
    <mergeCell ref="F6:H6"/>
    <mergeCell ref="F10:F16"/>
    <mergeCell ref="D2:J2"/>
  </mergeCells>
  <phoneticPr fontId="65"/>
  <hyperlinks>
    <hyperlink ref="H10" location="'5 Develop BCP'!A1" display="considerations" xr:uid="{7B735276-9D0D-4966-AD85-F76FEB81747D}"/>
    <hyperlink ref="H12" location="'5 Multi-App Continuity'!A1" display="example" xr:uid="{DF9F8220-7893-47AE-8C3F-1F10AF91BA64}"/>
    <hyperlink ref="H13" location="'5 Business Critical Calendar'!A1" display="example" xr:uid="{274ACCCA-AF8E-40E1-B539-E20570FC260D}"/>
    <hyperlink ref="H14" location="'5 BIA | Portfolio Summary'!A1" display="example" xr:uid="{96790FA2-5B7F-4CC6-AAF6-5D886DB65EB8}"/>
    <hyperlink ref="H15" location="'5 Dashboard'!A1" display="example" xr:uid="{9C219579-3F8D-4BA0-A8B7-098075E2E0A9}"/>
    <hyperlink ref="H11" location="'5 Risk'!A1" display="example" xr:uid="{65B725BE-EDD1-4414-AC31-8EA4CA5379DD}"/>
    <hyperlink ref="H16" location="'5 Maintain BCP'!A1" display="example" xr:uid="{7E1F5B12-27C4-4C1C-983B-C1003D95FBDA}"/>
  </hyperlink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9B26A3-9C0F-4699-B1C3-9E4C10E4EA3D}">
  <dimension ref="A1:G69"/>
  <sheetViews>
    <sheetView showGridLines="0" showRowColHeaders="0" topLeftCell="A43" zoomScaleNormal="100" workbookViewId="0">
      <selection activeCell="E50" sqref="E50"/>
    </sheetView>
  </sheetViews>
  <sheetFormatPr defaultColWidth="0" defaultRowHeight="14.45" zeroHeight="1" outlineLevelRow="1"/>
  <cols>
    <col min="1" max="1" width="5.85546875" customWidth="1"/>
    <col min="2" max="2" width="3.85546875" customWidth="1"/>
    <col min="3" max="3" width="23.85546875" bestFit="1" customWidth="1"/>
    <col min="4" max="4" width="37.42578125" customWidth="1"/>
    <col min="5" max="5" width="56.42578125" customWidth="1"/>
    <col min="6" max="7" width="3.85546875" customWidth="1"/>
    <col min="8" max="16384" width="8.85546875" hidden="1"/>
  </cols>
  <sheetData>
    <row r="1" spans="1:7">
      <c r="A1" s="4"/>
      <c r="B1" s="4"/>
      <c r="C1" s="4"/>
      <c r="D1" s="4"/>
      <c r="E1" s="4"/>
      <c r="F1" s="4"/>
      <c r="G1" s="4"/>
    </row>
    <row r="2" spans="1:7" ht="21">
      <c r="A2" s="4"/>
      <c r="B2" s="4"/>
      <c r="C2" s="618" t="s">
        <v>244</v>
      </c>
      <c r="D2" s="618"/>
      <c r="E2" s="618"/>
      <c r="F2" s="4"/>
      <c r="G2" s="4"/>
    </row>
    <row r="3" spans="1:7">
      <c r="A3" s="4"/>
      <c r="B3" s="4"/>
      <c r="C3" s="4"/>
      <c r="D3" s="4"/>
      <c r="E3" s="4"/>
      <c r="F3" s="4"/>
      <c r="G3" s="4"/>
    </row>
    <row r="4" spans="1:7">
      <c r="A4" s="4"/>
      <c r="B4" s="4"/>
      <c r="C4" s="4"/>
      <c r="D4" s="4"/>
      <c r="E4" s="4"/>
      <c r="F4" s="4"/>
      <c r="G4" s="4"/>
    </row>
    <row r="5" spans="1:7" ht="18.600000000000001">
      <c r="A5" s="4"/>
      <c r="B5" s="4"/>
      <c r="C5" s="625" t="s">
        <v>245</v>
      </c>
      <c r="D5" s="625"/>
      <c r="E5" s="625"/>
      <c r="F5" s="4"/>
      <c r="G5" s="4"/>
    </row>
    <row r="6" spans="1:7" outlineLevel="1">
      <c r="A6" s="4"/>
      <c r="B6" s="4"/>
      <c r="C6" s="4"/>
      <c r="D6" s="4"/>
      <c r="E6" s="4"/>
      <c r="F6" s="4"/>
      <c r="G6" s="4"/>
    </row>
    <row r="7" spans="1:7" ht="69.95" customHeight="1" outlineLevel="1">
      <c r="A7" s="4"/>
      <c r="B7" s="4"/>
      <c r="D7" s="347" t="s">
        <v>246</v>
      </c>
      <c r="E7" s="500" t="s">
        <v>247</v>
      </c>
      <c r="F7" s="4"/>
      <c r="G7" s="4"/>
    </row>
    <row r="8" spans="1:7" ht="14.45" customHeight="1" outlineLevel="1">
      <c r="A8" s="4"/>
      <c r="B8" s="4"/>
      <c r="C8" s="4"/>
      <c r="D8" s="199"/>
      <c r="E8" s="199"/>
      <c r="F8" s="4"/>
      <c r="G8" s="4"/>
    </row>
    <row r="9" spans="1:7" ht="69.95" customHeight="1" outlineLevel="1">
      <c r="A9" s="4"/>
      <c r="B9" s="4"/>
      <c r="D9" s="347" t="s">
        <v>248</v>
      </c>
      <c r="E9" s="500" t="s">
        <v>249</v>
      </c>
      <c r="F9" s="4"/>
      <c r="G9" s="4"/>
    </row>
    <row r="10" spans="1:7" ht="14.45" customHeight="1" outlineLevel="1">
      <c r="A10" s="4"/>
      <c r="B10" s="4"/>
      <c r="C10" s="4"/>
      <c r="D10" s="199"/>
      <c r="E10" s="199"/>
      <c r="F10" s="4"/>
      <c r="G10" s="4"/>
    </row>
    <row r="11" spans="1:7" ht="69.95" customHeight="1" outlineLevel="1">
      <c r="A11" s="4"/>
      <c r="B11" s="4"/>
      <c r="D11" s="347" t="s">
        <v>250</v>
      </c>
      <c r="E11" s="500" t="s">
        <v>251</v>
      </c>
      <c r="F11" s="4"/>
      <c r="G11" s="4"/>
    </row>
    <row r="12" spans="1:7" ht="14.45" customHeight="1" outlineLevel="1">
      <c r="A12" s="4"/>
      <c r="B12" s="4"/>
      <c r="C12" s="4"/>
      <c r="D12" s="199"/>
      <c r="E12" s="199"/>
      <c r="F12" s="4"/>
      <c r="G12" s="4"/>
    </row>
    <row r="13" spans="1:7" ht="69.95" customHeight="1" outlineLevel="1">
      <c r="A13" s="4"/>
      <c r="B13" s="4"/>
      <c r="D13" s="347" t="s">
        <v>252</v>
      </c>
      <c r="E13" s="500" t="s">
        <v>253</v>
      </c>
      <c r="F13" s="4"/>
      <c r="G13" s="4"/>
    </row>
    <row r="14" spans="1:7" ht="14.45" customHeight="1" outlineLevel="1">
      <c r="A14" s="4"/>
      <c r="B14" s="4"/>
      <c r="C14" s="4"/>
      <c r="D14" s="199"/>
      <c r="E14" s="199"/>
      <c r="F14" s="4"/>
      <c r="G14" s="4"/>
    </row>
    <row r="15" spans="1:7" ht="69.95" customHeight="1" outlineLevel="1">
      <c r="A15" s="4"/>
      <c r="B15" s="4"/>
      <c r="D15" s="347" t="s">
        <v>254</v>
      </c>
      <c r="E15" s="500" t="s">
        <v>228</v>
      </c>
      <c r="F15" s="4"/>
      <c r="G15" s="4"/>
    </row>
    <row r="16" spans="1:7" ht="14.45" customHeight="1" outlineLevel="1">
      <c r="A16" s="4"/>
      <c r="B16" s="4"/>
      <c r="C16" s="4"/>
      <c r="D16" s="199"/>
      <c r="E16" s="199"/>
      <c r="F16" s="4"/>
      <c r="G16" s="4"/>
    </row>
    <row r="17" spans="1:7" ht="69.95" customHeight="1" outlineLevel="1">
      <c r="A17" s="4"/>
      <c r="B17" s="4"/>
      <c r="D17" s="347" t="s">
        <v>255</v>
      </c>
      <c r="E17" s="500" t="s">
        <v>256</v>
      </c>
      <c r="F17" s="4"/>
      <c r="G17" s="4"/>
    </row>
    <row r="18" spans="1:7" ht="14.45" customHeight="1" outlineLevel="1">
      <c r="A18" s="4"/>
      <c r="B18" s="4"/>
      <c r="C18" s="4"/>
      <c r="D18" s="199"/>
      <c r="E18" s="199"/>
      <c r="F18" s="4"/>
      <c r="G18" s="4"/>
    </row>
    <row r="19" spans="1:7" ht="69.95" customHeight="1" outlineLevel="1">
      <c r="A19" s="4"/>
      <c r="B19" s="4"/>
      <c r="D19" s="347" t="s">
        <v>257</v>
      </c>
      <c r="E19" s="500" t="s">
        <v>258</v>
      </c>
      <c r="F19" s="4"/>
      <c r="G19" s="4"/>
    </row>
    <row r="20" spans="1:7" ht="14.45" customHeight="1" outlineLevel="1">
      <c r="A20" s="4"/>
      <c r="B20" s="4"/>
      <c r="C20" s="4"/>
      <c r="D20" s="199"/>
      <c r="E20" s="199"/>
      <c r="F20" s="4"/>
      <c r="G20" s="4"/>
    </row>
    <row r="21" spans="1:7" ht="69.95" customHeight="1" outlineLevel="1">
      <c r="A21" s="4"/>
      <c r="B21" s="4"/>
      <c r="D21" s="347" t="s">
        <v>259</v>
      </c>
      <c r="E21" s="500" t="s">
        <v>54</v>
      </c>
      <c r="F21" s="4"/>
      <c r="G21" s="4"/>
    </row>
    <row r="22" spans="1:7" outlineLevel="1">
      <c r="A22" s="4"/>
      <c r="B22" s="4"/>
      <c r="C22" s="4"/>
      <c r="D22" s="4"/>
      <c r="E22" s="4"/>
      <c r="F22" s="4"/>
      <c r="G22" s="4"/>
    </row>
    <row r="23" spans="1:7" ht="69.95" customHeight="1" outlineLevel="1">
      <c r="A23" s="4"/>
      <c r="B23" s="4"/>
      <c r="D23" s="347" t="s">
        <v>260</v>
      </c>
      <c r="E23" s="500" t="s">
        <v>261</v>
      </c>
      <c r="F23" s="4"/>
      <c r="G23" s="4"/>
    </row>
    <row r="24" spans="1:7" outlineLevel="1">
      <c r="A24" s="4"/>
      <c r="B24" s="4"/>
      <c r="C24" s="4"/>
      <c r="D24" s="4"/>
      <c r="E24" s="4"/>
      <c r="F24" s="4"/>
      <c r="G24" s="4"/>
    </row>
    <row r="25" spans="1:7" ht="69.95" customHeight="1" outlineLevel="1">
      <c r="A25" s="4"/>
      <c r="B25" s="4"/>
      <c r="D25" s="347" t="s">
        <v>262</v>
      </c>
      <c r="E25" s="500" t="s">
        <v>263</v>
      </c>
      <c r="F25" s="4"/>
      <c r="G25" s="4"/>
    </row>
    <row r="26" spans="1:7" outlineLevel="1">
      <c r="A26" s="4"/>
      <c r="B26" s="4"/>
      <c r="C26" s="4"/>
      <c r="D26" s="4"/>
      <c r="E26" s="4"/>
      <c r="F26" s="4"/>
      <c r="G26" s="4"/>
    </row>
    <row r="27" spans="1:7" ht="18.600000000000001">
      <c r="A27" s="4"/>
      <c r="B27" s="4"/>
      <c r="C27" s="625" t="s">
        <v>264</v>
      </c>
      <c r="D27" s="625"/>
      <c r="E27" s="625"/>
      <c r="F27" s="4"/>
      <c r="G27" s="4"/>
    </row>
    <row r="28" spans="1:7" outlineLevel="1">
      <c r="A28" s="4"/>
      <c r="B28" s="4"/>
      <c r="C28" s="4"/>
      <c r="D28" s="4"/>
      <c r="E28" s="4"/>
      <c r="F28" s="4"/>
      <c r="G28" s="4"/>
    </row>
    <row r="29" spans="1:7" ht="69.95" customHeight="1" outlineLevel="1">
      <c r="A29" s="4"/>
      <c r="B29" s="4"/>
      <c r="D29" s="347" t="s">
        <v>265</v>
      </c>
      <c r="E29" s="500" t="s">
        <v>141</v>
      </c>
      <c r="F29" s="4"/>
      <c r="G29" s="4"/>
    </row>
    <row r="30" spans="1:7" ht="14.45" customHeight="1" outlineLevel="1">
      <c r="A30" s="4"/>
      <c r="B30" s="4"/>
      <c r="C30" s="4"/>
      <c r="D30" s="199"/>
      <c r="E30" s="199"/>
      <c r="F30" s="4"/>
      <c r="G30" s="4"/>
    </row>
    <row r="31" spans="1:7" ht="69.95" customHeight="1" outlineLevel="1">
      <c r="A31" s="4"/>
      <c r="B31" s="4"/>
      <c r="D31" s="347" t="s">
        <v>266</v>
      </c>
      <c r="E31" s="502" t="s">
        <v>267</v>
      </c>
      <c r="F31" s="4"/>
      <c r="G31" s="4"/>
    </row>
    <row r="32" spans="1:7" ht="14.45" customHeight="1" outlineLevel="1">
      <c r="A32" s="4"/>
      <c r="B32" s="4"/>
      <c r="C32" s="4"/>
      <c r="D32" s="199"/>
      <c r="E32" s="199"/>
      <c r="F32" s="4"/>
      <c r="G32" s="4"/>
    </row>
    <row r="33" spans="1:7" ht="69.95" customHeight="1" outlineLevel="1">
      <c r="A33" s="4"/>
      <c r="B33" s="4"/>
      <c r="D33" s="378" t="s">
        <v>268</v>
      </c>
      <c r="E33" s="347" t="s">
        <v>269</v>
      </c>
      <c r="F33" s="4"/>
      <c r="G33" s="4"/>
    </row>
    <row r="34" spans="1:7" ht="14.45" customHeight="1" outlineLevel="1">
      <c r="A34" s="4"/>
      <c r="B34" s="4"/>
      <c r="C34" s="4"/>
      <c r="D34" s="199"/>
      <c r="E34" s="199"/>
      <c r="F34" s="4"/>
      <c r="G34" s="4"/>
    </row>
    <row r="35" spans="1:7" ht="69.95" customHeight="1" outlineLevel="1">
      <c r="A35" s="4"/>
      <c r="B35" s="4"/>
      <c r="D35" s="378" t="s">
        <v>270</v>
      </c>
      <c r="E35" s="500" t="s">
        <v>271</v>
      </c>
      <c r="F35" s="4"/>
      <c r="G35" s="4"/>
    </row>
    <row r="36" spans="1:7" ht="14.45" customHeight="1" outlineLevel="1">
      <c r="A36" s="4"/>
      <c r="B36" s="4"/>
      <c r="C36" s="4"/>
      <c r="D36" s="199"/>
      <c r="E36" s="199"/>
      <c r="F36" s="4"/>
      <c r="G36" s="4"/>
    </row>
    <row r="37" spans="1:7" ht="69.95" customHeight="1" outlineLevel="1">
      <c r="A37" s="4"/>
      <c r="B37" s="4"/>
      <c r="D37" s="347" t="s">
        <v>272</v>
      </c>
      <c r="E37" s="500" t="s">
        <v>273</v>
      </c>
      <c r="F37" s="4"/>
      <c r="G37" s="4"/>
    </row>
    <row r="38" spans="1:7" ht="14.45" customHeight="1" outlineLevel="1">
      <c r="A38" s="4"/>
      <c r="B38" s="4"/>
      <c r="C38" s="4"/>
      <c r="D38" s="199"/>
      <c r="E38" s="199"/>
      <c r="F38" s="4"/>
      <c r="G38" s="4"/>
    </row>
    <row r="39" spans="1:7" ht="18.600000000000001">
      <c r="A39" s="4"/>
      <c r="B39" s="4"/>
      <c r="C39" s="625" t="s">
        <v>274</v>
      </c>
      <c r="D39" s="625"/>
      <c r="E39" s="625"/>
      <c r="F39" s="4"/>
      <c r="G39" s="4"/>
    </row>
    <row r="40" spans="1:7" outlineLevel="1">
      <c r="A40" s="4"/>
      <c r="B40" s="4"/>
      <c r="C40" s="4"/>
      <c r="D40" s="4"/>
      <c r="E40" s="4"/>
      <c r="F40" s="4"/>
      <c r="G40" s="4"/>
    </row>
    <row r="41" spans="1:7" ht="69.95" customHeight="1" outlineLevel="1">
      <c r="A41" s="4"/>
      <c r="B41" s="4"/>
      <c r="C41" s="627"/>
      <c r="D41" s="626" t="s">
        <v>275</v>
      </c>
      <c r="E41" s="500" t="s">
        <v>276</v>
      </c>
      <c r="F41" s="4"/>
      <c r="G41" s="4"/>
    </row>
    <row r="42" spans="1:7" ht="69.95" customHeight="1" outlineLevel="1">
      <c r="A42" s="4"/>
      <c r="B42" s="4"/>
      <c r="C42" s="627"/>
      <c r="D42" s="626"/>
      <c r="E42" s="500" t="s">
        <v>277</v>
      </c>
      <c r="F42" s="4"/>
      <c r="G42" s="4"/>
    </row>
    <row r="43" spans="1:7" ht="69.95" customHeight="1" outlineLevel="1">
      <c r="A43" s="4"/>
      <c r="B43" s="4"/>
      <c r="C43" s="627"/>
      <c r="D43" s="626"/>
      <c r="E43" s="500" t="s">
        <v>278</v>
      </c>
      <c r="F43" s="4"/>
      <c r="G43" s="4"/>
    </row>
    <row r="44" spans="1:7" ht="69.95" customHeight="1" outlineLevel="1">
      <c r="A44" s="4"/>
      <c r="B44" s="4"/>
      <c r="C44" s="627"/>
      <c r="D44" s="626"/>
      <c r="E44" s="500" t="s">
        <v>279</v>
      </c>
      <c r="F44" s="4"/>
      <c r="G44" s="4"/>
    </row>
    <row r="45" spans="1:7" ht="69.95" customHeight="1" outlineLevel="1">
      <c r="A45" s="4"/>
      <c r="B45" s="4"/>
      <c r="C45" s="627"/>
      <c r="D45" s="626"/>
      <c r="E45" s="502" t="s">
        <v>280</v>
      </c>
      <c r="F45" s="4"/>
      <c r="G45" s="4"/>
    </row>
    <row r="46" spans="1:7" ht="69.95" customHeight="1" outlineLevel="1">
      <c r="A46" s="4"/>
      <c r="B46" s="4"/>
      <c r="C46" s="627"/>
      <c r="D46" s="626"/>
      <c r="E46" s="502" t="s">
        <v>281</v>
      </c>
      <c r="F46" s="4"/>
      <c r="G46" s="4"/>
    </row>
    <row r="47" spans="1:7" ht="14.45" customHeight="1" outlineLevel="1">
      <c r="A47" s="4"/>
      <c r="B47" s="4"/>
      <c r="C47" s="4"/>
      <c r="D47" s="199"/>
      <c r="E47" s="199"/>
      <c r="F47" s="4"/>
      <c r="G47" s="4"/>
    </row>
    <row r="48" spans="1:7" ht="69.95" customHeight="1" outlineLevel="1">
      <c r="A48" s="4"/>
      <c r="B48" s="4"/>
      <c r="D48" s="347" t="s">
        <v>282</v>
      </c>
      <c r="E48" s="500" t="s">
        <v>283</v>
      </c>
      <c r="F48" s="4"/>
      <c r="G48" s="4"/>
    </row>
    <row r="49" spans="1:7" outlineLevel="1">
      <c r="A49" s="4"/>
      <c r="B49" s="4"/>
      <c r="C49" s="4"/>
      <c r="D49" s="4"/>
      <c r="E49" s="4"/>
      <c r="F49" s="4"/>
      <c r="G49" s="4"/>
    </row>
    <row r="50" spans="1:7" ht="69.95" customHeight="1" outlineLevel="1">
      <c r="A50" s="4"/>
      <c r="B50" s="4"/>
      <c r="D50" s="347" t="s">
        <v>284</v>
      </c>
      <c r="E50" s="500" t="s">
        <v>181</v>
      </c>
      <c r="F50" s="4"/>
      <c r="G50" s="4"/>
    </row>
    <row r="51" spans="1:7" outlineLevel="1">
      <c r="A51" s="4"/>
      <c r="B51" s="4"/>
      <c r="C51" s="4"/>
      <c r="D51" s="4"/>
      <c r="E51" s="4"/>
      <c r="F51" s="4"/>
      <c r="G51" s="4"/>
    </row>
    <row r="52" spans="1:7" ht="18.600000000000001">
      <c r="A52" s="4"/>
      <c r="B52" s="4"/>
      <c r="C52" s="625" t="s">
        <v>285</v>
      </c>
      <c r="D52" s="625"/>
      <c r="E52" s="625"/>
      <c r="F52" s="4"/>
      <c r="G52" s="4"/>
    </row>
    <row r="53" spans="1:7" outlineLevel="1">
      <c r="A53" s="4"/>
      <c r="B53" s="4"/>
      <c r="C53" s="4"/>
      <c r="D53" s="4"/>
      <c r="E53" s="4"/>
      <c r="F53" s="4"/>
      <c r="G53" s="4"/>
    </row>
    <row r="54" spans="1:7" ht="69.95" customHeight="1" outlineLevel="1">
      <c r="A54" s="4"/>
      <c r="B54" s="4"/>
      <c r="D54" s="347" t="s">
        <v>286</v>
      </c>
      <c r="E54" s="500" t="s">
        <v>287</v>
      </c>
      <c r="F54" s="4"/>
      <c r="G54" s="4"/>
    </row>
    <row r="55" spans="1:7" outlineLevel="1">
      <c r="A55" s="4"/>
      <c r="B55" s="4"/>
      <c r="C55" s="4"/>
      <c r="D55" s="4"/>
      <c r="E55" s="4"/>
      <c r="F55" s="4"/>
      <c r="G55" s="4"/>
    </row>
    <row r="56" spans="1:7" ht="69.95" customHeight="1" outlineLevel="1">
      <c r="A56" s="4"/>
      <c r="B56" s="4"/>
      <c r="D56" s="347" t="s">
        <v>288</v>
      </c>
      <c r="E56" s="500" t="s">
        <v>40</v>
      </c>
      <c r="F56" s="4"/>
      <c r="G56" s="4"/>
    </row>
    <row r="57" spans="1:7" outlineLevel="1">
      <c r="A57" s="4"/>
      <c r="B57" s="4"/>
      <c r="C57" s="4"/>
      <c r="D57" s="4"/>
      <c r="E57" s="4"/>
      <c r="F57" s="4"/>
      <c r="G57" s="4"/>
    </row>
    <row r="58" spans="1:7" ht="69.95" customHeight="1" outlineLevel="1">
      <c r="A58" s="4"/>
      <c r="B58" s="4"/>
      <c r="D58" s="347" t="s">
        <v>289</v>
      </c>
      <c r="E58" s="500" t="s">
        <v>46</v>
      </c>
      <c r="F58" s="4"/>
      <c r="G58" s="4"/>
    </row>
    <row r="59" spans="1:7" outlineLevel="1">
      <c r="A59" s="4"/>
      <c r="B59" s="4"/>
      <c r="C59" s="4"/>
      <c r="D59" s="4"/>
      <c r="E59" s="4"/>
      <c r="F59" s="4"/>
      <c r="G59" s="4"/>
    </row>
    <row r="60" spans="1:7" ht="69.95" customHeight="1" outlineLevel="1">
      <c r="A60" s="4"/>
      <c r="B60" s="4"/>
      <c r="D60" s="347" t="s">
        <v>290</v>
      </c>
      <c r="E60" s="500" t="s">
        <v>291</v>
      </c>
      <c r="F60" s="4"/>
      <c r="G60" s="4"/>
    </row>
    <row r="61" spans="1:7" outlineLevel="1">
      <c r="A61" s="4"/>
      <c r="B61" s="4"/>
      <c r="C61" s="4"/>
      <c r="D61" s="4"/>
      <c r="E61" s="4"/>
      <c r="F61" s="4"/>
      <c r="G61" s="4"/>
    </row>
    <row r="62" spans="1:7" ht="69.95" customHeight="1" outlineLevel="1">
      <c r="A62" s="4"/>
      <c r="B62" s="4"/>
      <c r="D62" s="347" t="s">
        <v>292</v>
      </c>
      <c r="E62" s="500" t="s">
        <v>293</v>
      </c>
      <c r="F62" s="4"/>
      <c r="G62" s="4"/>
    </row>
    <row r="63" spans="1:7" outlineLevel="1">
      <c r="A63" s="4"/>
      <c r="B63" s="4"/>
      <c r="C63" s="4"/>
      <c r="D63" s="4"/>
      <c r="E63" s="4"/>
      <c r="F63" s="4"/>
      <c r="G63" s="4"/>
    </row>
    <row r="64" spans="1:7" ht="69.95" customHeight="1" outlineLevel="1">
      <c r="A64" s="4"/>
      <c r="B64" s="4"/>
      <c r="D64" s="347" t="s">
        <v>294</v>
      </c>
      <c r="E64" s="500" t="s">
        <v>295</v>
      </c>
      <c r="F64" s="4"/>
      <c r="G64" s="4"/>
    </row>
    <row r="65" spans="1:7">
      <c r="A65" s="4"/>
      <c r="B65" s="4"/>
      <c r="C65" s="4"/>
      <c r="D65" s="4"/>
      <c r="E65" s="4"/>
      <c r="F65" s="4"/>
      <c r="G65" s="4"/>
    </row>
    <row r="66" spans="1:7" s="123" customFormat="1" ht="18.600000000000001">
      <c r="A66" s="102"/>
      <c r="B66" s="102"/>
      <c r="C66" s="102" t="s">
        <v>78</v>
      </c>
      <c r="D66" s="102"/>
      <c r="E66" s="102"/>
      <c r="F66" s="102"/>
      <c r="G66" s="102"/>
    </row>
    <row r="67" spans="1:7" outlineLevel="1">
      <c r="A67" s="4"/>
      <c r="B67" s="4"/>
      <c r="C67" s="4"/>
      <c r="D67" s="4"/>
      <c r="E67" s="4"/>
      <c r="F67" s="4"/>
      <c r="G67" s="4"/>
    </row>
    <row r="68" spans="1:7" outlineLevel="1">
      <c r="A68" s="4"/>
      <c r="B68" s="4"/>
      <c r="C68" s="578" t="s">
        <v>296</v>
      </c>
      <c r="D68" s="7"/>
      <c r="E68" s="7"/>
      <c r="F68" s="4"/>
      <c r="G68" s="4"/>
    </row>
    <row r="69" spans="1:7">
      <c r="A69" s="4"/>
      <c r="B69" s="4"/>
      <c r="C69" s="4"/>
      <c r="D69" s="4"/>
      <c r="E69" s="4"/>
      <c r="F69" s="4"/>
      <c r="G69" s="4"/>
    </row>
  </sheetData>
  <mergeCells count="7">
    <mergeCell ref="C52:E52"/>
    <mergeCell ref="C5:E5"/>
    <mergeCell ref="C2:E2"/>
    <mergeCell ref="C27:E27"/>
    <mergeCell ref="C39:E39"/>
    <mergeCell ref="D41:D46"/>
    <mergeCell ref="C41:C46"/>
  </mergeCells>
  <phoneticPr fontId="65"/>
  <hyperlinks>
    <hyperlink ref="E7" location="'1B Requirements'!A1" display="sample requirements" xr:uid="{32F28A89-D0A7-4451-A65E-5D003DCE00BF}"/>
    <hyperlink ref="E9" location="'2 Service Map'!A1" display="service map example with type of information that is required" xr:uid="{A1C23333-D27D-47DE-9158-5300D921432D}"/>
    <hyperlink ref="E29" location="'2 BIA'!A1" display="BIA" xr:uid="{0D0C364D-A386-4CC8-AF85-733FFA263C61}"/>
    <hyperlink ref="E11" location="'2 Fault Tree Analysis (-BCDR)'!A1" display="Sample FTA" xr:uid="{B319057C-D334-4F0E-B667-5EF05DDCA232}"/>
    <hyperlink ref="E15" location="'3 Response Plan'!A1" display="Sample Response Plan" xr:uid="{F6C67691-85CA-4F2E-8319-3E8FFE6DBAE7}"/>
    <hyperlink ref="E17" location="'3 Architecture | BCDR Design'!A1" display="Sample Architecture Design" xr:uid="{7D519DA4-52EF-49FC-9F47-ED293166EFCB}"/>
    <hyperlink ref="E19" location="'3 Contingency Plan'!A1" display="Sample Contingency Plan" xr:uid="{90982A56-ED80-47E0-9231-B22DC68F4CEC}"/>
    <hyperlink ref="E21" location="'3 Role Assignment'!A1" display="Sample Role Assignment" xr:uid="{382758B6-5D66-4F6D-BD1E-3E93B2AF9726}"/>
    <hyperlink ref="E23" location="'1B Test Types'!A1" display="Test Types" xr:uid="{88D18374-746F-46AE-B69D-C3A111BDBC32}"/>
    <hyperlink ref="E25" location="'4 App Outage Communication'!A1" display="Sample Communication Plan" xr:uid="{BE4D618D-2F94-4D2C-9E73-B7E08A0A371E}"/>
    <hyperlink ref="E31" location="'1B Criticality'!A1" display="Criticality template" xr:uid="{F586ACEB-9F99-4425-B051-C4A9CA77BF87}"/>
    <hyperlink ref="E13" location="'1B Commitment, Blueprints'!A1" display="Sample Commitment and Blueprints" xr:uid="{AE856A59-1E60-4638-A1EB-E3D67758076A}"/>
    <hyperlink ref="E35" location="'5 Dashboard'!A1" display="Sample dashboard" xr:uid="{C92C3EA5-F06F-425A-8EF9-A84C2CD3641D}"/>
    <hyperlink ref="E37" location="'4 Maintain ACP'!A1" display="Sample Maintenance Plan" xr:uid="{F577CCFC-8BF4-498F-8425-D48103CDB118}"/>
    <hyperlink ref="E41" location="'1B RACI'!A1" display="RACI Matrix" xr:uid="{9041D842-B7AF-42FD-AABD-0DEA0942EBE7}"/>
    <hyperlink ref="E45" location="'1B Requirements'!A1" display="A minimum set of predefined requirements for use when assessing an application for BCDR." xr:uid="{13FE26A9-333E-4503-807B-243786B3C50B}"/>
    <hyperlink ref="E46" location="'1B Test Types'!A1" display="A predefined list of test plans to consider when designing operations and BCDR for an application." xr:uid="{BA30BBDA-00E2-4893-81DF-0BC5B7B5DA08}"/>
    <hyperlink ref="E48" location="aBCDR!A1" display="Sample Methodology" xr:uid="{C3E25B19-B88E-4B67-B4E0-74791CC73903}"/>
    <hyperlink ref="E54" location="'5 Develop BCP'!A1" display="Considerations" xr:uid="{31E59E4A-9430-4119-A355-F12B5480A4D1}"/>
    <hyperlink ref="E50" location="'5 Multi-App Continuity'!A1" display="Sample multiple application continuity plan" xr:uid="{056CB580-A8F3-4F71-9720-2E60491A6CE2}"/>
    <hyperlink ref="E58" location="'5 Business Critical Calendar'!A1" display="Sample Business Critical Function Calendar" xr:uid="{E0A04960-E7A2-4597-B883-342A7D47CE5D}"/>
    <hyperlink ref="E60" location="'5 BIA | Portfolio Summary'!A1" display="Sample BIA Summary" xr:uid="{D2CAA672-A510-469F-81B1-2B73B494A5CF}"/>
    <hyperlink ref="E62" location="'5 Dashboard'!A1" display="Sample BCDR Dashboard" xr:uid="{07CD1DD7-4AC6-4FF0-8312-01B1F0AED449}"/>
    <hyperlink ref="E64" location="'5 Maintain BCP'!A1" display="Sample BCP Maintenance Plan" xr:uid="{5C952358-A0EB-46CF-A5E3-2401F888FEFE}"/>
    <hyperlink ref="C68" location="'1B RACI'!A1" display="'1B RACI'!A1" xr:uid="{280A1F12-E28D-4770-8D67-4A9143679A1A}"/>
    <hyperlink ref="E56" location="'5 Risk'!A1" display="Risk" xr:uid="{969D4123-0408-402B-91EF-47463BB966AC}"/>
    <hyperlink ref="E44" location="'1B Commitment, Blueprints'!A1" display="Architecture Blueprints mapped to a business commitment model" xr:uid="{A402DB94-B967-4C67-8072-5A6AC604ECA9}"/>
    <hyperlink ref="E43" location="'1B Commitment, Blueprints'!A1" display="Business Commitment Model" xr:uid="{1C3D7AA5-E433-490E-B57C-82AF7E311EE2}"/>
    <hyperlink ref="E42" location="'1B Criticality'!A1" display="Criticality Assignment Model" xr:uid="{7EE9C427-0220-47BE-9384-F81A688F52EB}"/>
  </hyperlink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6458BB-ACF9-4256-821E-27050891A51C}">
  <sheetPr>
    <tabColor rgb="FFF25022"/>
  </sheetPr>
  <dimension ref="A1:N32"/>
  <sheetViews>
    <sheetView showGridLines="0" showRowColHeaders="0" zoomScaleNormal="100" workbookViewId="0">
      <selection activeCell="A8" sqref="A8"/>
    </sheetView>
  </sheetViews>
  <sheetFormatPr defaultColWidth="0" defaultRowHeight="14.45" zeroHeight="1" outlineLevelRow="1"/>
  <cols>
    <col min="1" max="2" width="5.85546875" customWidth="1"/>
    <col min="3" max="3" width="3.85546875" customWidth="1"/>
    <col min="4" max="4" width="16.42578125" bestFit="1" customWidth="1"/>
    <col min="5" max="5" width="17.140625" bestFit="1" customWidth="1"/>
    <col min="6" max="6" width="83.140625" customWidth="1"/>
    <col min="7" max="7" width="10.42578125" bestFit="1" customWidth="1"/>
    <col min="8" max="8" width="18.140625" bestFit="1" customWidth="1"/>
    <col min="9" max="9" width="16.42578125" bestFit="1" customWidth="1"/>
    <col min="10" max="10" width="21.42578125" bestFit="1" customWidth="1"/>
    <col min="11" max="11" width="19.42578125" bestFit="1" customWidth="1"/>
    <col min="12" max="12" width="22.42578125" bestFit="1" customWidth="1"/>
    <col min="13" max="14" width="3.85546875" customWidth="1"/>
    <col min="15" max="16384" width="8.85546875" hidden="1"/>
  </cols>
  <sheetData>
    <row r="1" spans="1:14">
      <c r="A1" s="4"/>
      <c r="B1" s="4"/>
      <c r="C1" s="4"/>
      <c r="D1" s="4"/>
      <c r="E1" s="4"/>
      <c r="F1" s="4"/>
      <c r="G1" s="4"/>
      <c r="H1" s="4"/>
      <c r="I1" s="4"/>
      <c r="J1" s="4"/>
      <c r="K1" s="4"/>
      <c r="L1" s="4"/>
      <c r="M1" s="4"/>
      <c r="N1" s="4"/>
    </row>
    <row r="2" spans="1:14" ht="21" customHeight="1">
      <c r="A2" s="4"/>
      <c r="B2" s="4"/>
      <c r="C2" s="618" t="s">
        <v>297</v>
      </c>
      <c r="D2" s="618"/>
      <c r="E2" s="618"/>
      <c r="F2" s="618"/>
      <c r="G2" s="618"/>
      <c r="H2" s="618"/>
      <c r="I2" s="618"/>
      <c r="J2" s="618"/>
      <c r="K2" s="618"/>
      <c r="L2" s="618"/>
      <c r="M2" s="618"/>
      <c r="N2" s="9"/>
    </row>
    <row r="3" spans="1:14" ht="46.7" customHeight="1">
      <c r="A3" s="4"/>
      <c r="B3" s="4"/>
      <c r="C3" s="628" t="s">
        <v>298</v>
      </c>
      <c r="D3" s="628"/>
      <c r="E3" s="628"/>
      <c r="F3" s="628"/>
      <c r="G3" s="628"/>
      <c r="H3" s="628"/>
      <c r="I3" s="628"/>
      <c r="J3" s="628"/>
      <c r="K3" s="628"/>
      <c r="L3" s="628"/>
      <c r="M3" s="628"/>
      <c r="N3" s="4"/>
    </row>
    <row r="4" spans="1:14">
      <c r="A4" s="4"/>
      <c r="B4" s="4"/>
      <c r="C4" s="4"/>
      <c r="D4" s="19"/>
      <c r="E4" s="4"/>
      <c r="F4" s="4"/>
      <c r="G4" s="4"/>
      <c r="H4" s="4"/>
      <c r="I4" s="4"/>
      <c r="J4" s="4"/>
      <c r="K4" s="4"/>
      <c r="L4" s="4"/>
      <c r="M4" s="4"/>
      <c r="N4" s="4"/>
    </row>
    <row r="5" spans="1:14">
      <c r="A5" s="4"/>
      <c r="B5" s="4"/>
      <c r="C5" s="7"/>
      <c r="D5" s="195"/>
      <c r="E5" s="7"/>
      <c r="F5" s="7"/>
      <c r="G5" s="7"/>
      <c r="H5" s="7"/>
      <c r="I5" s="7"/>
      <c r="J5" s="7"/>
      <c r="K5" s="7"/>
      <c r="L5" s="7"/>
      <c r="M5" s="7"/>
      <c r="N5" s="4"/>
    </row>
    <row r="6" spans="1:14">
      <c r="A6" s="4"/>
      <c r="B6" s="4"/>
      <c r="C6" s="7"/>
      <c r="D6" s="170" t="s">
        <v>299</v>
      </c>
      <c r="E6" s="260"/>
      <c r="F6" s="7"/>
      <c r="G6" s="7"/>
      <c r="H6" s="7"/>
      <c r="I6" s="7"/>
      <c r="J6" s="7"/>
      <c r="K6" s="7"/>
      <c r="L6" s="7"/>
      <c r="M6" s="7"/>
      <c r="N6" s="4"/>
    </row>
    <row r="7" spans="1:14">
      <c r="A7" s="4"/>
      <c r="B7" s="4"/>
      <c r="C7" s="7"/>
      <c r="D7" s="170" t="s">
        <v>300</v>
      </c>
      <c r="E7" s="260"/>
      <c r="F7" s="7"/>
      <c r="G7" s="7"/>
      <c r="H7" s="7"/>
      <c r="I7" s="7"/>
      <c r="J7" s="7"/>
      <c r="K7" s="7"/>
      <c r="L7" s="7"/>
      <c r="M7" s="7"/>
      <c r="N7" s="4"/>
    </row>
    <row r="8" spans="1:14">
      <c r="A8" s="4"/>
      <c r="B8" s="4"/>
      <c r="C8" s="7"/>
      <c r="D8" s="170" t="s">
        <v>301</v>
      </c>
      <c r="E8" s="260"/>
      <c r="F8" s="7"/>
      <c r="G8" s="7"/>
      <c r="H8" s="7"/>
      <c r="I8" s="7"/>
      <c r="J8" s="7"/>
      <c r="K8" s="7"/>
      <c r="L8" s="7"/>
      <c r="M8" s="7"/>
      <c r="N8" s="4"/>
    </row>
    <row r="9" spans="1:14">
      <c r="A9" s="4"/>
      <c r="B9" s="4"/>
      <c r="C9" s="7"/>
      <c r="D9" s="170" t="s">
        <v>0</v>
      </c>
      <c r="E9" s="260"/>
      <c r="F9" s="7"/>
      <c r="G9" s="7"/>
      <c r="H9" s="7"/>
      <c r="I9" s="7"/>
      <c r="J9" s="7"/>
      <c r="K9" s="7"/>
      <c r="L9" s="7"/>
      <c r="M9" s="7"/>
      <c r="N9" s="4"/>
    </row>
    <row r="10" spans="1:14">
      <c r="A10" s="4"/>
      <c r="B10" s="4"/>
      <c r="C10" s="7"/>
      <c r="D10" s="7"/>
      <c r="E10" s="159"/>
      <c r="F10" s="159"/>
      <c r="G10" s="7"/>
      <c r="H10" s="7"/>
      <c r="I10" s="7"/>
      <c r="J10" s="7"/>
      <c r="K10" s="7"/>
      <c r="L10" s="7"/>
      <c r="M10" s="7"/>
      <c r="N10" s="4"/>
    </row>
    <row r="11" spans="1:14">
      <c r="A11" s="4"/>
      <c r="B11" s="4"/>
      <c r="C11" s="4"/>
      <c r="D11" s="4"/>
      <c r="E11" s="4"/>
      <c r="F11" s="4"/>
      <c r="G11" s="4"/>
      <c r="H11" s="4"/>
      <c r="I11" s="4"/>
      <c r="J11" s="4"/>
      <c r="K11" s="4"/>
      <c r="L11" s="4"/>
      <c r="M11" s="4"/>
      <c r="N11" s="4"/>
    </row>
    <row r="12" spans="1:14" ht="18.600000000000001">
      <c r="A12" s="102"/>
      <c r="B12" s="102"/>
      <c r="C12" s="102" t="s">
        <v>302</v>
      </c>
      <c r="D12" s="102"/>
      <c r="E12" s="102"/>
      <c r="F12" s="102"/>
      <c r="G12" s="102"/>
      <c r="H12" s="102"/>
      <c r="I12" s="102"/>
      <c r="J12" s="102"/>
      <c r="K12" s="102"/>
      <c r="L12" s="102"/>
      <c r="M12" s="102"/>
      <c r="N12" s="102"/>
    </row>
    <row r="13" spans="1:14">
      <c r="A13" s="4"/>
      <c r="B13" s="4"/>
      <c r="C13" s="4"/>
      <c r="D13" s="4"/>
      <c r="E13" s="4"/>
      <c r="F13" s="4"/>
      <c r="G13" s="4"/>
      <c r="H13" s="4"/>
      <c r="I13" s="4"/>
      <c r="J13" s="4"/>
      <c r="K13" s="4"/>
      <c r="L13" s="4"/>
      <c r="M13" s="4"/>
      <c r="N13" s="4"/>
    </row>
    <row r="14" spans="1:14">
      <c r="A14" s="4"/>
      <c r="B14" s="4"/>
      <c r="C14" s="7"/>
      <c r="D14" s="7"/>
      <c r="E14" s="7"/>
      <c r="F14" s="7"/>
      <c r="G14" s="7"/>
      <c r="H14" s="7"/>
      <c r="I14" s="7"/>
      <c r="J14" s="7"/>
      <c r="K14" s="7"/>
      <c r="L14" s="7"/>
      <c r="M14" s="7"/>
      <c r="N14" s="4"/>
    </row>
    <row r="15" spans="1:14">
      <c r="A15" s="4"/>
      <c r="B15" s="4"/>
      <c r="C15" s="7"/>
      <c r="D15" s="7"/>
      <c r="E15" s="7"/>
      <c r="F15" s="7"/>
      <c r="G15" s="629" t="s">
        <v>303</v>
      </c>
      <c r="H15" s="629"/>
      <c r="I15" s="629"/>
      <c r="J15" s="629"/>
      <c r="K15" s="629"/>
      <c r="L15" s="629"/>
      <c r="M15" s="172"/>
      <c r="N15" s="4"/>
    </row>
    <row r="16" spans="1:14" ht="16.5">
      <c r="A16" s="4"/>
      <c r="B16" s="4"/>
      <c r="C16" s="7"/>
      <c r="D16" s="18" t="s">
        <v>304</v>
      </c>
      <c r="E16" s="18" t="s">
        <v>305</v>
      </c>
      <c r="F16" s="18" t="s">
        <v>306</v>
      </c>
      <c r="G16" s="18" t="s">
        <v>307</v>
      </c>
      <c r="H16" s="18" t="s">
        <v>308</v>
      </c>
      <c r="I16" s="18" t="s">
        <v>309</v>
      </c>
      <c r="J16" s="18" t="s">
        <v>310</v>
      </c>
      <c r="K16" s="18" t="s">
        <v>311</v>
      </c>
      <c r="L16" s="18" t="s">
        <v>312</v>
      </c>
      <c r="M16" s="7"/>
      <c r="N16" s="4"/>
    </row>
    <row r="17" spans="1:14">
      <c r="A17" s="4"/>
      <c r="B17" s="4"/>
      <c r="C17" s="7"/>
      <c r="D17" s="18" t="s">
        <v>313</v>
      </c>
      <c r="E17" s="18" t="s">
        <v>314</v>
      </c>
      <c r="F17" s="175" t="s">
        <v>315</v>
      </c>
      <c r="G17" s="266" t="s">
        <v>316</v>
      </c>
      <c r="H17" s="266" t="s">
        <v>317</v>
      </c>
      <c r="I17" s="266" t="s">
        <v>317</v>
      </c>
      <c r="J17" s="266" t="s">
        <v>317</v>
      </c>
      <c r="K17" s="266" t="s">
        <v>318</v>
      </c>
      <c r="L17" s="266" t="s">
        <v>317</v>
      </c>
      <c r="M17" s="7"/>
      <c r="N17" s="4"/>
    </row>
    <row r="18" spans="1:14">
      <c r="A18" s="4"/>
      <c r="B18" s="4"/>
      <c r="C18" s="7"/>
      <c r="D18" s="18" t="s">
        <v>313</v>
      </c>
      <c r="E18" s="18" t="s">
        <v>319</v>
      </c>
      <c r="F18" s="175" t="s">
        <v>320</v>
      </c>
      <c r="G18" s="266" t="s">
        <v>321</v>
      </c>
      <c r="H18" s="266" t="s">
        <v>317</v>
      </c>
      <c r="I18" s="266" t="s">
        <v>317</v>
      </c>
      <c r="J18" s="266" t="s">
        <v>317</v>
      </c>
      <c r="K18" s="266" t="s">
        <v>318</v>
      </c>
      <c r="L18" s="266" t="s">
        <v>317</v>
      </c>
      <c r="M18" s="7"/>
      <c r="N18" s="4"/>
    </row>
    <row r="19" spans="1:14" ht="29.1">
      <c r="A19" s="4"/>
      <c r="B19" s="4"/>
      <c r="C19" s="7"/>
      <c r="D19" s="18" t="s">
        <v>313</v>
      </c>
      <c r="E19" s="18" t="s">
        <v>322</v>
      </c>
      <c r="F19" s="175" t="s">
        <v>323</v>
      </c>
      <c r="G19" s="266" t="s">
        <v>316</v>
      </c>
      <c r="H19" s="266" t="s">
        <v>317</v>
      </c>
      <c r="I19" s="266" t="s">
        <v>317</v>
      </c>
      <c r="J19" s="266" t="s">
        <v>317</v>
      </c>
      <c r="K19" s="266" t="s">
        <v>318</v>
      </c>
      <c r="L19" s="266" t="s">
        <v>317</v>
      </c>
      <c r="M19" s="7"/>
      <c r="N19" s="4"/>
    </row>
    <row r="20" spans="1:14" ht="29.1">
      <c r="A20" s="4"/>
      <c r="B20" s="4"/>
      <c r="C20" s="7"/>
      <c r="D20" s="18" t="s">
        <v>313</v>
      </c>
      <c r="E20" s="18" t="s">
        <v>324</v>
      </c>
      <c r="F20" s="175" t="s">
        <v>325</v>
      </c>
      <c r="G20" s="266" t="s">
        <v>316</v>
      </c>
      <c r="H20" s="266" t="s">
        <v>317</v>
      </c>
      <c r="I20" s="266" t="s">
        <v>317</v>
      </c>
      <c r="J20" s="266" t="s">
        <v>317</v>
      </c>
      <c r="K20" s="266" t="s">
        <v>317</v>
      </c>
      <c r="L20" s="266" t="s">
        <v>317</v>
      </c>
      <c r="M20" s="7"/>
      <c r="N20" s="4"/>
    </row>
    <row r="21" spans="1:14" ht="29.1">
      <c r="A21" s="4"/>
      <c r="B21" s="4"/>
      <c r="C21" s="7"/>
      <c r="D21" s="18" t="s">
        <v>313</v>
      </c>
      <c r="E21" s="18" t="s">
        <v>326</v>
      </c>
      <c r="F21" s="175" t="s">
        <v>327</v>
      </c>
      <c r="G21" s="266" t="s">
        <v>316</v>
      </c>
      <c r="H21" s="266" t="s">
        <v>317</v>
      </c>
      <c r="I21" s="266" t="s">
        <v>317</v>
      </c>
      <c r="J21" s="266" t="s">
        <v>317</v>
      </c>
      <c r="K21" s="266" t="s">
        <v>318</v>
      </c>
      <c r="L21" s="266" t="s">
        <v>317</v>
      </c>
      <c r="M21" s="7"/>
      <c r="N21" s="4"/>
    </row>
    <row r="22" spans="1:14">
      <c r="A22" s="4"/>
      <c r="B22" s="4"/>
      <c r="C22" s="7"/>
      <c r="D22" s="18" t="s">
        <v>313</v>
      </c>
      <c r="E22" s="18" t="s">
        <v>328</v>
      </c>
      <c r="F22" s="175" t="s">
        <v>329</v>
      </c>
      <c r="G22" s="266" t="s">
        <v>321</v>
      </c>
      <c r="H22" s="266" t="s">
        <v>317</v>
      </c>
      <c r="I22" s="266" t="s">
        <v>317</v>
      </c>
      <c r="J22" s="266" t="s">
        <v>317</v>
      </c>
      <c r="K22" s="266" t="s">
        <v>318</v>
      </c>
      <c r="L22" s="266" t="s">
        <v>317</v>
      </c>
      <c r="M22" s="7"/>
      <c r="N22" s="4"/>
    </row>
    <row r="23" spans="1:14" ht="29.1">
      <c r="A23" s="4"/>
      <c r="B23" s="4"/>
      <c r="C23" s="7"/>
      <c r="D23" s="18" t="s">
        <v>330</v>
      </c>
      <c r="E23" s="18" t="s">
        <v>331</v>
      </c>
      <c r="F23" s="175" t="s">
        <v>332</v>
      </c>
      <c r="G23" s="266" t="s">
        <v>333</v>
      </c>
      <c r="H23" s="266" t="s">
        <v>318</v>
      </c>
      <c r="I23" s="266" t="s">
        <v>317</v>
      </c>
      <c r="J23" s="266" t="s">
        <v>317</v>
      </c>
      <c r="K23" s="266" t="s">
        <v>318</v>
      </c>
      <c r="L23" s="266" t="s">
        <v>317</v>
      </c>
      <c r="M23" s="7"/>
      <c r="N23" s="4"/>
    </row>
    <row r="24" spans="1:14" ht="29.1">
      <c r="A24" s="4"/>
      <c r="B24" s="4"/>
      <c r="C24" s="7"/>
      <c r="D24" s="18" t="s">
        <v>334</v>
      </c>
      <c r="E24" s="18" t="s">
        <v>335</v>
      </c>
      <c r="F24" s="175" t="s">
        <v>336</v>
      </c>
      <c r="G24" s="266" t="s">
        <v>337</v>
      </c>
      <c r="H24" s="266" t="s">
        <v>318</v>
      </c>
      <c r="I24" s="266" t="s">
        <v>317</v>
      </c>
      <c r="J24" s="266" t="s">
        <v>317</v>
      </c>
      <c r="K24" s="266" t="s">
        <v>318</v>
      </c>
      <c r="L24" s="266" t="s">
        <v>317</v>
      </c>
      <c r="M24" s="7"/>
      <c r="N24" s="4"/>
    </row>
    <row r="25" spans="1:14" ht="29.1">
      <c r="A25" s="4"/>
      <c r="B25" s="4"/>
      <c r="C25" s="7"/>
      <c r="D25" s="18" t="s">
        <v>338</v>
      </c>
      <c r="E25" s="18" t="s">
        <v>339</v>
      </c>
      <c r="F25" s="175" t="s">
        <v>340</v>
      </c>
      <c r="G25" s="266" t="s">
        <v>341</v>
      </c>
      <c r="H25" s="266" t="s">
        <v>318</v>
      </c>
      <c r="I25" s="266" t="s">
        <v>317</v>
      </c>
      <c r="J25" s="266" t="s">
        <v>317</v>
      </c>
      <c r="K25" s="266" t="s">
        <v>318</v>
      </c>
      <c r="L25" s="266" t="s">
        <v>317</v>
      </c>
      <c r="M25" s="7"/>
      <c r="N25" s="4"/>
    </row>
    <row r="26" spans="1:14" ht="29.1">
      <c r="A26" s="4"/>
      <c r="B26" s="4"/>
      <c r="C26" s="7"/>
      <c r="D26" s="18" t="s">
        <v>342</v>
      </c>
      <c r="E26" s="18" t="s">
        <v>343</v>
      </c>
      <c r="F26" s="175" t="s">
        <v>344</v>
      </c>
      <c r="G26" s="267">
        <v>0</v>
      </c>
      <c r="H26" s="266" t="s">
        <v>318</v>
      </c>
      <c r="I26" s="266" t="s">
        <v>318</v>
      </c>
      <c r="J26" s="266" t="s">
        <v>318</v>
      </c>
      <c r="K26" s="266" t="s">
        <v>318</v>
      </c>
      <c r="L26" s="266" t="s">
        <v>317</v>
      </c>
      <c r="M26" s="7"/>
      <c r="N26" s="4"/>
    </row>
    <row r="27" spans="1:14">
      <c r="A27" s="4"/>
      <c r="B27" s="4"/>
      <c r="C27" s="7"/>
      <c r="D27" s="7"/>
      <c r="E27" s="7"/>
      <c r="F27" s="7"/>
      <c r="G27" s="7"/>
      <c r="H27" s="7"/>
      <c r="I27" s="7"/>
      <c r="J27" s="7"/>
      <c r="K27" s="7"/>
      <c r="L27" s="7"/>
      <c r="M27" s="7"/>
      <c r="N27" s="4"/>
    </row>
    <row r="28" spans="1:14">
      <c r="A28" s="4"/>
      <c r="B28" s="4"/>
      <c r="C28" s="4"/>
      <c r="D28" s="4"/>
      <c r="E28" s="4"/>
      <c r="F28" s="4"/>
      <c r="G28" s="4"/>
      <c r="H28" s="4"/>
      <c r="I28" s="4"/>
      <c r="J28" s="4"/>
      <c r="K28" s="4"/>
      <c r="L28" s="4"/>
      <c r="M28" s="4"/>
      <c r="N28" s="4"/>
    </row>
    <row r="29" spans="1:14" ht="18.600000000000001">
      <c r="A29" s="101"/>
      <c r="B29" s="101"/>
      <c r="C29" s="102" t="s">
        <v>78</v>
      </c>
      <c r="D29" s="102"/>
      <c r="E29" s="101"/>
      <c r="F29" s="101"/>
      <c r="G29" s="101"/>
      <c r="H29" s="101"/>
      <c r="I29" s="101"/>
      <c r="J29" s="101"/>
      <c r="K29" s="101"/>
      <c r="L29" s="101"/>
      <c r="M29" s="101"/>
      <c r="N29" s="101"/>
    </row>
    <row r="30" spans="1:14" outlineLevel="1">
      <c r="A30" s="4"/>
      <c r="B30" s="4"/>
      <c r="C30" s="4"/>
      <c r="D30" s="4"/>
      <c r="E30" s="4"/>
      <c r="F30" s="4"/>
      <c r="G30" s="4"/>
      <c r="H30" s="4"/>
      <c r="I30" s="4"/>
      <c r="J30" s="4"/>
      <c r="K30" s="4"/>
      <c r="L30" s="4"/>
      <c r="M30" s="4"/>
      <c r="N30" s="4"/>
    </row>
    <row r="31" spans="1:14" ht="16.350000000000001" customHeight="1" outlineLevel="1">
      <c r="A31" s="4"/>
      <c r="B31" s="4"/>
      <c r="C31" s="169">
        <v>1</v>
      </c>
      <c r="D31" s="1" t="s">
        <v>345</v>
      </c>
      <c r="E31" s="167"/>
      <c r="F31" s="167"/>
      <c r="G31" s="93"/>
      <c r="H31" s="7"/>
      <c r="I31" s="7"/>
      <c r="J31" s="7"/>
      <c r="K31" s="7"/>
      <c r="L31" s="7"/>
      <c r="M31" s="7"/>
      <c r="N31" s="4"/>
    </row>
    <row r="32" spans="1:14">
      <c r="A32" s="4"/>
      <c r="B32" s="4"/>
      <c r="C32" s="4"/>
      <c r="D32" s="4"/>
      <c r="E32" s="4"/>
      <c r="F32" s="4"/>
      <c r="G32" s="4"/>
      <c r="H32" s="4"/>
      <c r="I32" s="4"/>
      <c r="J32" s="4"/>
      <c r="K32" s="4"/>
      <c r="L32" s="4"/>
      <c r="M32" s="4"/>
      <c r="N32" s="4"/>
    </row>
  </sheetData>
  <mergeCells count="3">
    <mergeCell ref="C2:M2"/>
    <mergeCell ref="C3:M3"/>
    <mergeCell ref="G15:L15"/>
  </mergeCells>
  <phoneticPr fontId="1" type="noConversion"/>
  <hyperlinks>
    <hyperlink ref="D31" r:id="rId1" location="criticality-scale" display="https://learn.microsoft.com/en-us/azure/cloud-adoption-framework/manage/considerations/criticality - criticality-scale" xr:uid="{202A8522-5F27-43CB-95A1-E2F31FE2E765}"/>
  </hyperlinks>
  <pageMargins left="0.7" right="0.7" top="0.75" bottom="0.75" header="0.3" footer="0.3"/>
  <pageSetup orientation="portrait" r:id="rId2"/>
  <drawing r:id="rId3"/>
  <tableParts count="1">
    <tablePart r:id="rId4"/>
  </tableParts>
  <extLst>
    <ext xmlns:x14="http://schemas.microsoft.com/office/spreadsheetml/2009/9/main" uri="{78C0D931-6437-407d-A8EE-F0AAD7539E65}">
      <x14:conditionalFormattings>
        <x14:conditionalFormatting xmlns:xm="http://schemas.microsoft.com/office/excel/2006/main">
          <x14:cfRule type="cellIs" priority="1" operator="equal" id="{64478C5E-CD61-48B4-AF4D-607A3E0D3C33}">
            <xm:f>Data!$L$13</xm:f>
            <x14:dxf>
              <font>
                <color theme="0"/>
              </font>
              <fill>
                <patternFill>
                  <bgColor rgb="FFF25022"/>
                </patternFill>
              </fill>
            </x14:dxf>
          </x14:cfRule>
          <x14:cfRule type="cellIs" priority="2" operator="equal" id="{8549C617-FF2C-49F7-ADA7-9C4DE8A51FC1}">
            <xm:f>Data!$L$12</xm:f>
            <x14:dxf>
              <font>
                <color theme="0"/>
              </font>
              <fill>
                <patternFill>
                  <bgColor rgb="FFF25022"/>
                </patternFill>
              </fill>
            </x14:dxf>
          </x14:cfRule>
          <x14:cfRule type="cellIs" priority="3" operator="equal" id="{B4A51F16-DD9C-4800-BF6E-39DB0A0BF969}">
            <xm:f>Data!$L$11</xm:f>
            <x14:dxf>
              <font>
                <color theme="0"/>
              </font>
              <fill>
                <patternFill>
                  <bgColor rgb="FFF25022"/>
                </patternFill>
              </fill>
            </x14:dxf>
          </x14:cfRule>
          <x14:cfRule type="cellIs" priority="4" operator="equal" id="{1F6779E7-4BE7-4DCA-8777-E5F7C8930891}">
            <xm:f>Data!$L$10</xm:f>
            <x14:dxf>
              <font>
                <color theme="0"/>
              </font>
              <fill>
                <patternFill>
                  <bgColor rgb="FFF25022"/>
                </patternFill>
              </fill>
            </x14:dxf>
          </x14:cfRule>
          <x14:cfRule type="cellIs" priority="5" operator="equal" id="{28922A6F-1ABD-4808-A3A9-CC67C6466764}">
            <xm:f>Data!$L$6</xm:f>
            <x14:dxf>
              <font>
                <color theme="0"/>
              </font>
              <fill>
                <patternFill>
                  <bgColor rgb="FFF25022"/>
                </patternFill>
              </fill>
            </x14:dxf>
          </x14:cfRule>
          <x14:cfRule type="cellIs" priority="242" operator="equal" id="{534EE50A-02FA-4EDA-8F15-4ABA03800A36}">
            <xm:f>Data!$L$9</xm:f>
            <x14:dxf>
              <font>
                <color theme="1"/>
              </font>
              <fill>
                <patternFill>
                  <bgColor rgb="FF7FBA00"/>
                </patternFill>
              </fill>
            </x14:dxf>
          </x14:cfRule>
          <x14:cfRule type="cellIs" priority="243" operator="equal" id="{4CC455EC-5A35-4213-A1EF-B0AAE4CB75F9}">
            <xm:f>Data!$L$8</xm:f>
            <x14:dxf>
              <font>
                <color theme="0"/>
              </font>
              <fill>
                <patternFill>
                  <bgColor rgb="FF00A4EF"/>
                </patternFill>
              </fill>
            </x14:dxf>
          </x14:cfRule>
          <x14:cfRule type="cellIs" priority="244" operator="equal" id="{A633C455-D04E-405C-B831-E328251DF461}">
            <xm:f>Data!$L$7</xm:f>
            <x14:dxf>
              <font>
                <color theme="1"/>
              </font>
              <fill>
                <patternFill>
                  <bgColor rgb="FFFFB900"/>
                </patternFill>
              </fill>
            </x14:dxf>
          </x14:cfRule>
          <x14:cfRule type="cellIs" priority="245" operator="equal" id="{3360B35A-E4A9-434C-90C8-F49BC3796812}">
            <xm:f>Data!$L$5</xm:f>
            <x14:dxf>
              <font>
                <color theme="0"/>
              </font>
              <fill>
                <patternFill>
                  <bgColor rgb="FFF25022"/>
                </patternFill>
              </fill>
            </x14:dxf>
          </x14:cfRule>
          <xm:sqref>D17:E25</xm:sqref>
        </x14:conditionalFormatting>
        <x14:conditionalFormatting xmlns:xm="http://schemas.microsoft.com/office/excel/2006/main">
          <x14:cfRule type="cellIs" priority="246" operator="equal" id="{349E4DFC-EE2F-4587-A218-6D33308E0257}">
            <xm:f>Data!$L$6+Data!$L$14</xm:f>
            <x14:dxf>
              <font>
                <color theme="0"/>
              </font>
              <fill>
                <patternFill>
                  <bgColor rgb="FF747474"/>
                </patternFill>
              </fill>
            </x14:dxf>
          </x14:cfRule>
          <xm:sqref>D17:E26</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8E3902B-97FF-4D4D-ABB9-7FEC76A486F1}">
          <x14:formula1>
            <xm:f>Data!$L$5:$L$14</xm:f>
          </x14:formula1>
          <xm:sqref>E17:E26</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2D403-E24D-46C9-9362-A30C71A789BF}">
  <sheetPr>
    <tabColor rgb="FFF25022"/>
  </sheetPr>
  <dimension ref="A1:BT40"/>
  <sheetViews>
    <sheetView showGridLines="0" showRowColHeaders="0" zoomScale="70" zoomScaleNormal="70" workbookViewId="0">
      <selection activeCell="A7" sqref="A7"/>
    </sheetView>
  </sheetViews>
  <sheetFormatPr defaultColWidth="0" defaultRowHeight="14.45" zeroHeight="1" outlineLevelRow="1"/>
  <cols>
    <col min="1" max="2" width="5.85546875" customWidth="1"/>
    <col min="3" max="3" width="3.85546875" customWidth="1"/>
    <col min="4" max="4" width="16.140625" bestFit="1" customWidth="1"/>
    <col min="5" max="5" width="16.85546875" bestFit="1" customWidth="1"/>
    <col min="6" max="6" width="15.42578125" customWidth="1"/>
    <col min="7" max="7" width="15.85546875" bestFit="1" customWidth="1"/>
    <col min="8" max="10" width="15.85546875" customWidth="1"/>
    <col min="11" max="11" width="18.5703125" bestFit="1" customWidth="1"/>
    <col min="12" max="12" width="20.42578125" bestFit="1" customWidth="1"/>
    <col min="13" max="13" width="11.140625" bestFit="1" customWidth="1"/>
    <col min="14" max="14" width="13.140625" bestFit="1" customWidth="1"/>
    <col min="15" max="15" width="12.42578125" bestFit="1" customWidth="1"/>
    <col min="16" max="16" width="14.85546875" bestFit="1" customWidth="1"/>
    <col min="17" max="17" width="9.85546875" bestFit="1" customWidth="1"/>
    <col min="18" max="19" width="15.85546875" customWidth="1"/>
    <col min="20" max="20" width="20.85546875" bestFit="1" customWidth="1"/>
    <col min="21" max="21" width="14.42578125" customWidth="1"/>
    <col min="22" max="22" width="42.140625" customWidth="1"/>
    <col min="23" max="23" width="22.85546875" bestFit="1" customWidth="1"/>
    <col min="24" max="24" width="12.140625" bestFit="1" customWidth="1"/>
    <col min="25" max="25" width="18.85546875" bestFit="1" customWidth="1"/>
    <col min="26" max="27" width="18.85546875" customWidth="1"/>
    <col min="28" max="28" width="19.140625" bestFit="1" customWidth="1"/>
    <col min="29" max="30" width="19.140625" customWidth="1"/>
    <col min="31" max="37" width="18.85546875" customWidth="1"/>
    <col min="38" max="38" width="14.85546875" bestFit="1" customWidth="1"/>
    <col min="39" max="46" width="18.85546875" customWidth="1"/>
    <col min="47" max="47" width="20.5703125" bestFit="1" customWidth="1"/>
    <col min="48" max="48" width="23.140625" bestFit="1" customWidth="1"/>
    <col min="49" max="53" width="18.85546875" customWidth="1"/>
    <col min="54" max="54" width="31.42578125" customWidth="1"/>
    <col min="55" max="56" width="18.85546875" customWidth="1"/>
    <col min="57" max="57" width="16.42578125" bestFit="1" customWidth="1"/>
    <col min="58" max="58" width="12.140625" bestFit="1" customWidth="1"/>
    <col min="59" max="59" width="12" bestFit="1" customWidth="1"/>
    <col min="60" max="60" width="8.42578125" bestFit="1" customWidth="1"/>
    <col min="61" max="61" width="9.85546875" customWidth="1"/>
    <col min="62" max="63" width="8.42578125" bestFit="1" customWidth="1"/>
    <col min="64" max="64" width="8.85546875" bestFit="1" customWidth="1"/>
    <col min="65" max="65" width="15.140625" bestFit="1" customWidth="1"/>
    <col min="66" max="66" width="15.140625" customWidth="1"/>
    <col min="67" max="67" width="9.140625" bestFit="1" customWidth="1"/>
    <col min="68" max="68" width="13.85546875" bestFit="1" customWidth="1"/>
    <col min="69" max="69" width="13.85546875" customWidth="1"/>
    <col min="70" max="70" width="14.140625" customWidth="1"/>
    <col min="71" max="72" width="3.85546875" customWidth="1"/>
    <col min="73" max="16384" width="8.85546875" hidden="1"/>
  </cols>
  <sheetData>
    <row r="1" spans="1:72">
      <c r="A1" s="4"/>
      <c r="B1" s="4"/>
      <c r="C1" s="4"/>
      <c r="D1" s="4"/>
      <c r="E1" s="4"/>
      <c r="F1" s="4"/>
      <c r="G1" s="4"/>
      <c r="H1" s="4"/>
      <c r="I1" s="4"/>
      <c r="J1" s="4"/>
      <c r="K1" s="4"/>
      <c r="L1" s="4"/>
      <c r="M1" s="4"/>
      <c r="N1" s="4"/>
      <c r="O1" s="4"/>
      <c r="P1" s="4"/>
      <c r="Q1" s="4"/>
      <c r="R1" s="4"/>
      <c r="S1" s="4"/>
      <c r="T1" s="4"/>
      <c r="U1" s="4"/>
      <c r="V1" s="4"/>
      <c r="W1" s="4"/>
      <c r="X1" s="4"/>
      <c r="Y1" s="4"/>
      <c r="Z1" s="4"/>
      <c r="AA1" s="4"/>
      <c r="AB1" s="4"/>
      <c r="AC1" s="4"/>
      <c r="AD1" s="4"/>
      <c r="AE1" s="4"/>
      <c r="AF1" s="4"/>
      <c r="AG1" s="4"/>
      <c r="AH1" s="4"/>
      <c r="AI1" s="4"/>
      <c r="AJ1" s="4"/>
      <c r="AK1" s="4"/>
      <c r="AL1" s="4"/>
      <c r="AM1" s="4"/>
      <c r="AN1" s="4"/>
      <c r="AO1" s="4"/>
      <c r="AP1" s="4"/>
      <c r="AQ1" s="4"/>
      <c r="AR1" s="4"/>
      <c r="AS1" s="4"/>
      <c r="AT1" s="4"/>
      <c r="AU1" s="4"/>
      <c r="AV1" s="4"/>
      <c r="AW1" s="4"/>
      <c r="AX1" s="4"/>
      <c r="AY1" s="4"/>
      <c r="AZ1" s="4"/>
      <c r="BA1" s="4"/>
      <c r="BB1" s="4"/>
      <c r="BC1" s="4"/>
      <c r="BD1" s="4"/>
      <c r="BE1" s="4"/>
      <c r="BF1" s="4"/>
      <c r="BG1" s="4"/>
      <c r="BH1" s="4"/>
      <c r="BI1" s="4"/>
      <c r="BJ1" s="4"/>
      <c r="BK1" s="4"/>
      <c r="BL1" s="4"/>
      <c r="BM1" s="4"/>
      <c r="BN1" s="4"/>
      <c r="BO1" s="4"/>
      <c r="BP1" s="4"/>
      <c r="BQ1" s="4"/>
      <c r="BR1" s="4"/>
      <c r="BS1" s="4"/>
      <c r="BT1" s="4"/>
    </row>
    <row r="2" spans="1:72" ht="21">
      <c r="A2" s="4"/>
      <c r="B2" s="4"/>
      <c r="C2" s="618" t="s">
        <v>346</v>
      </c>
      <c r="D2" s="618"/>
      <c r="E2" s="618"/>
      <c r="F2" s="618"/>
      <c r="G2" s="618"/>
      <c r="H2" s="618"/>
      <c r="I2" s="618"/>
      <c r="J2" s="618"/>
      <c r="K2" s="618"/>
      <c r="L2" s="618"/>
      <c r="M2" s="618"/>
      <c r="N2" s="618"/>
      <c r="O2" s="618"/>
      <c r="P2" s="618"/>
      <c r="Q2" s="618"/>
      <c r="R2" s="618"/>
      <c r="S2" s="618"/>
      <c r="T2" s="618"/>
      <c r="U2" s="618"/>
      <c r="V2" s="618"/>
      <c r="W2" s="618"/>
      <c r="X2" s="618"/>
      <c r="Y2" s="618"/>
      <c r="Z2" s="618"/>
      <c r="AA2" s="618"/>
      <c r="AB2" s="618"/>
      <c r="AC2" s="618"/>
      <c r="AD2" s="618"/>
      <c r="AE2" s="618"/>
      <c r="AF2" s="618"/>
      <c r="AG2" s="618"/>
      <c r="AH2" s="618"/>
      <c r="AI2" s="618"/>
      <c r="AJ2" s="618"/>
      <c r="AK2" s="618"/>
      <c r="AL2" s="618"/>
      <c r="AM2" s="618"/>
      <c r="AN2" s="618"/>
      <c r="AO2" s="618"/>
      <c r="AP2" s="618"/>
      <c r="AQ2" s="618"/>
      <c r="AR2" s="618"/>
      <c r="AS2" s="618"/>
      <c r="AT2" s="618"/>
      <c r="AU2" s="618"/>
      <c r="AV2" s="618"/>
      <c r="AW2" s="618"/>
      <c r="AX2" s="618"/>
      <c r="AY2" s="618"/>
      <c r="AZ2" s="618"/>
      <c r="BA2" s="618"/>
      <c r="BB2" s="618"/>
      <c r="BC2" s="618"/>
      <c r="BD2" s="618"/>
      <c r="BE2" s="618"/>
      <c r="BF2" s="618"/>
      <c r="BG2" s="618"/>
      <c r="BH2" s="618"/>
      <c r="BI2" s="618"/>
      <c r="BJ2" s="618"/>
      <c r="BK2" s="618"/>
      <c r="BL2" s="618"/>
      <c r="BM2" s="618"/>
      <c r="BN2" s="618"/>
      <c r="BO2" s="618"/>
      <c r="BP2" s="618"/>
      <c r="BQ2" s="618"/>
      <c r="BR2" s="618"/>
      <c r="BS2" s="618"/>
      <c r="BT2" s="4"/>
    </row>
    <row r="3" spans="1:72">
      <c r="A3" s="4"/>
      <c r="B3" s="4"/>
      <c r="C3" s="628" t="s">
        <v>347</v>
      </c>
      <c r="D3" s="628"/>
      <c r="E3" s="628"/>
      <c r="F3" s="628"/>
      <c r="G3" s="628"/>
      <c r="H3" s="628"/>
      <c r="I3" s="628"/>
      <c r="J3" s="628"/>
      <c r="K3" s="628"/>
      <c r="L3" s="628"/>
      <c r="M3" s="628"/>
      <c r="N3" s="628"/>
      <c r="O3" s="628"/>
      <c r="P3" s="628"/>
      <c r="Q3" s="628"/>
      <c r="R3" s="628"/>
      <c r="S3" s="628"/>
      <c r="T3" s="628"/>
      <c r="U3" s="628"/>
      <c r="V3" s="628"/>
      <c r="W3" s="628"/>
      <c r="X3" s="628"/>
      <c r="Y3" s="628"/>
      <c r="Z3" s="628"/>
      <c r="AA3" s="628"/>
      <c r="AB3" s="628"/>
      <c r="AC3" s="628"/>
      <c r="AD3" s="628"/>
      <c r="AE3" s="628"/>
      <c r="AF3" s="628"/>
      <c r="AG3" s="628"/>
      <c r="AH3" s="628"/>
      <c r="AI3" s="628"/>
      <c r="AJ3" s="628"/>
      <c r="AK3" s="628"/>
      <c r="AL3" s="628"/>
      <c r="AM3" s="628"/>
      <c r="AN3" s="628"/>
      <c r="AO3" s="628"/>
      <c r="AP3" s="628"/>
      <c r="AQ3" s="628"/>
      <c r="AR3" s="628"/>
      <c r="AS3" s="628"/>
      <c r="AT3" s="628"/>
      <c r="AU3" s="628"/>
      <c r="AV3" s="628"/>
      <c r="AW3" s="628"/>
      <c r="AX3" s="628"/>
      <c r="AY3" s="628"/>
      <c r="AZ3" s="628"/>
      <c r="BA3" s="628"/>
      <c r="BB3" s="628"/>
      <c r="BC3" s="628"/>
      <c r="BD3" s="628"/>
      <c r="BE3" s="628"/>
      <c r="BF3" s="628"/>
      <c r="BG3" s="628"/>
      <c r="BH3" s="628"/>
      <c r="BI3" s="628"/>
      <c r="BJ3" s="628"/>
      <c r="BK3" s="628"/>
      <c r="BL3" s="628"/>
      <c r="BM3" s="628"/>
      <c r="BN3" s="628"/>
      <c r="BO3" s="628"/>
      <c r="BP3" s="628"/>
      <c r="BQ3" s="628"/>
      <c r="BR3" s="628"/>
      <c r="BS3" s="628"/>
      <c r="BT3" s="4"/>
    </row>
    <row r="4" spans="1:72">
      <c r="A4" s="4"/>
      <c r="B4" s="4"/>
      <c r="C4" s="4"/>
      <c r="D4" s="19"/>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4"/>
      <c r="BE4" s="4"/>
      <c r="BF4" s="4"/>
      <c r="BG4" s="4"/>
      <c r="BH4" s="4"/>
      <c r="BI4" s="4"/>
      <c r="BJ4" s="4"/>
      <c r="BK4" s="4"/>
      <c r="BL4" s="4"/>
      <c r="BM4" s="4"/>
      <c r="BN4" s="4"/>
      <c r="BO4" s="4"/>
      <c r="BP4" s="4"/>
      <c r="BQ4" s="4"/>
      <c r="BR4" s="4"/>
      <c r="BS4" s="4"/>
      <c r="BT4" s="4"/>
    </row>
    <row r="5" spans="1:72">
      <c r="A5" s="4"/>
      <c r="B5" s="4"/>
      <c r="C5" s="7"/>
      <c r="D5" s="106"/>
      <c r="E5" s="7"/>
      <c r="F5" s="7"/>
      <c r="G5" s="7"/>
      <c r="H5" s="7"/>
      <c r="I5" s="7"/>
      <c r="J5" s="7"/>
      <c r="K5" s="7"/>
      <c r="L5" s="7"/>
      <c r="M5" s="7"/>
      <c r="N5" s="7"/>
      <c r="O5" s="7"/>
      <c r="P5" s="7"/>
      <c r="Q5" s="7"/>
      <c r="R5" s="7"/>
      <c r="S5" s="7"/>
      <c r="T5" s="7"/>
      <c r="U5" s="7"/>
      <c r="V5" s="7"/>
      <c r="W5" s="7"/>
      <c r="X5" s="7"/>
      <c r="Y5" s="7"/>
      <c r="Z5" s="7"/>
      <c r="AA5" s="7"/>
      <c r="AB5" s="7"/>
      <c r="AC5" s="7"/>
      <c r="AD5" s="7"/>
      <c r="AE5" s="7"/>
      <c r="AF5" s="7"/>
      <c r="AG5" s="7"/>
      <c r="AH5" s="7"/>
      <c r="AI5" s="7"/>
      <c r="AJ5" s="7"/>
      <c r="AK5" s="7"/>
      <c r="AL5" s="7"/>
      <c r="AM5" s="7"/>
      <c r="AN5" s="7"/>
      <c r="AO5" s="7"/>
      <c r="AP5" s="7"/>
      <c r="AQ5" s="7"/>
      <c r="AR5" s="7"/>
      <c r="AS5" s="7"/>
      <c r="AT5" s="7"/>
      <c r="AU5" s="7"/>
      <c r="AV5" s="7"/>
      <c r="AW5" s="7"/>
      <c r="AX5" s="7"/>
      <c r="AY5" s="7"/>
      <c r="AZ5" s="7"/>
      <c r="BA5" s="7"/>
      <c r="BB5" s="7"/>
      <c r="BC5" s="7"/>
      <c r="BD5" s="7"/>
      <c r="BE5" s="7"/>
      <c r="BF5" s="7"/>
      <c r="BG5" s="7"/>
      <c r="BH5" s="7"/>
      <c r="BI5" s="7"/>
      <c r="BJ5" s="7"/>
      <c r="BK5" s="7"/>
      <c r="BL5" s="7"/>
      <c r="BM5" s="7"/>
      <c r="BN5" s="7"/>
      <c r="BO5" s="7"/>
      <c r="BP5" s="7"/>
      <c r="BQ5" s="7"/>
      <c r="BR5" s="7"/>
      <c r="BS5" s="7"/>
      <c r="BT5" s="4"/>
    </row>
    <row r="6" spans="1:72">
      <c r="A6" s="4"/>
      <c r="B6" s="4"/>
      <c r="C6" s="7"/>
      <c r="D6" s="170" t="s">
        <v>299</v>
      </c>
      <c r="E6" s="260"/>
      <c r="F6" s="7"/>
      <c r="G6" s="7"/>
      <c r="H6" s="7"/>
      <c r="I6" s="7"/>
      <c r="J6" s="7"/>
      <c r="K6" s="7"/>
      <c r="L6" s="7"/>
      <c r="M6" s="7"/>
      <c r="N6" s="7"/>
      <c r="O6" s="7"/>
      <c r="P6" s="7"/>
      <c r="Q6" s="7"/>
      <c r="R6" s="7"/>
      <c r="S6" s="7"/>
      <c r="T6" s="7"/>
      <c r="U6" s="7"/>
      <c r="V6" s="7"/>
      <c r="W6" s="7"/>
      <c r="X6" s="7"/>
      <c r="Y6" s="7"/>
      <c r="Z6" s="7"/>
      <c r="AA6" s="7"/>
      <c r="AB6" s="7"/>
      <c r="AC6" s="7"/>
      <c r="AD6" s="7"/>
      <c r="AE6" s="7"/>
      <c r="AF6" s="7"/>
      <c r="AG6" s="7"/>
      <c r="AH6" s="7"/>
      <c r="AI6" s="7"/>
      <c r="AJ6" s="7"/>
      <c r="AK6" s="7"/>
      <c r="AL6" s="7"/>
      <c r="AM6" s="7"/>
      <c r="AN6" s="7"/>
      <c r="AO6" s="7"/>
      <c r="AP6" s="7"/>
      <c r="AQ6" s="7"/>
      <c r="AR6" s="7"/>
      <c r="AS6" s="7"/>
      <c r="AT6" s="7"/>
      <c r="AU6" s="7"/>
      <c r="AV6" s="7"/>
      <c r="AW6" s="7"/>
      <c r="AX6" s="7"/>
      <c r="AY6" s="7"/>
      <c r="AZ6" s="7"/>
      <c r="BA6" s="7"/>
      <c r="BB6" s="7"/>
      <c r="BC6" s="7"/>
      <c r="BD6" s="7"/>
      <c r="BE6" s="7"/>
      <c r="BF6" s="7"/>
      <c r="BG6" s="7"/>
      <c r="BH6" s="7"/>
      <c r="BI6" s="7"/>
      <c r="BJ6" s="7"/>
      <c r="BK6" s="7"/>
      <c r="BL6" s="7"/>
      <c r="BM6" s="7"/>
      <c r="BN6" s="7"/>
      <c r="BO6" s="7"/>
      <c r="BP6" s="7"/>
      <c r="BQ6" s="7"/>
      <c r="BR6" s="7"/>
      <c r="BS6" s="7"/>
      <c r="BT6" s="4"/>
    </row>
    <row r="7" spans="1:72">
      <c r="A7" s="4"/>
      <c r="B7" s="4"/>
      <c r="C7" s="7"/>
      <c r="D7" s="170" t="s">
        <v>300</v>
      </c>
      <c r="E7" s="260"/>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7"/>
      <c r="AN7" s="7"/>
      <c r="AO7" s="7"/>
      <c r="AP7" s="7"/>
      <c r="AQ7" s="7"/>
      <c r="AR7" s="7"/>
      <c r="AS7" s="7"/>
      <c r="AT7" s="7"/>
      <c r="AU7" s="7"/>
      <c r="AV7" s="7"/>
      <c r="AW7" s="7"/>
      <c r="AX7" s="7"/>
      <c r="AY7" s="7"/>
      <c r="AZ7" s="7"/>
      <c r="BA7" s="7"/>
      <c r="BB7" s="7"/>
      <c r="BC7" s="7"/>
      <c r="BD7" s="7"/>
      <c r="BE7" s="7"/>
      <c r="BF7" s="7"/>
      <c r="BG7" s="7"/>
      <c r="BH7" s="7"/>
      <c r="BI7" s="7"/>
      <c r="BJ7" s="7"/>
      <c r="BK7" s="7"/>
      <c r="BL7" s="7"/>
      <c r="BM7" s="7"/>
      <c r="BN7" s="7"/>
      <c r="BO7" s="7"/>
      <c r="BP7" s="7"/>
      <c r="BQ7" s="7"/>
      <c r="BR7" s="7"/>
      <c r="BS7" s="7"/>
      <c r="BT7" s="4"/>
    </row>
    <row r="8" spans="1:72">
      <c r="A8" s="4"/>
      <c r="B8" s="4"/>
      <c r="C8" s="7"/>
      <c r="D8" s="170" t="s">
        <v>301</v>
      </c>
      <c r="E8" s="260"/>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7"/>
      <c r="AN8" s="7"/>
      <c r="AO8" s="7"/>
      <c r="AP8" s="7"/>
      <c r="AQ8" s="7"/>
      <c r="AR8" s="7"/>
      <c r="AS8" s="7"/>
      <c r="AT8" s="7"/>
      <c r="AU8" s="7"/>
      <c r="AV8" s="7"/>
      <c r="AW8" s="7"/>
      <c r="AX8" s="7"/>
      <c r="AY8" s="7"/>
      <c r="AZ8" s="7"/>
      <c r="BA8" s="7"/>
      <c r="BB8" s="7"/>
      <c r="BC8" s="7"/>
      <c r="BD8" s="7"/>
      <c r="BE8" s="7"/>
      <c r="BF8" s="7"/>
      <c r="BG8" s="7"/>
      <c r="BH8" s="7"/>
      <c r="BI8" s="7"/>
      <c r="BJ8" s="7"/>
      <c r="BK8" s="7"/>
      <c r="BL8" s="7"/>
      <c r="BM8" s="7"/>
      <c r="BN8" s="7"/>
      <c r="BO8" s="7"/>
      <c r="BP8" s="7"/>
      <c r="BQ8" s="7"/>
      <c r="BR8" s="7"/>
      <c r="BS8" s="7"/>
      <c r="BT8" s="4"/>
    </row>
    <row r="9" spans="1:72">
      <c r="A9" s="4"/>
      <c r="B9" s="4"/>
      <c r="C9" s="7"/>
      <c r="D9" s="170" t="s">
        <v>0</v>
      </c>
      <c r="E9" s="260"/>
      <c r="F9" s="7"/>
      <c r="G9" s="7"/>
      <c r="H9" s="7"/>
      <c r="I9" s="7"/>
      <c r="J9" s="7"/>
      <c r="K9" s="7"/>
      <c r="L9" s="7"/>
      <c r="M9" s="7"/>
      <c r="N9" s="7"/>
      <c r="O9" s="7"/>
      <c r="P9" s="7"/>
      <c r="Q9" s="7"/>
      <c r="R9" s="7"/>
      <c r="S9" s="7"/>
      <c r="T9" s="7"/>
      <c r="U9" s="7"/>
      <c r="V9" s="7"/>
      <c r="W9" s="7"/>
      <c r="X9" s="7"/>
      <c r="Y9" s="7"/>
      <c r="Z9" s="7"/>
      <c r="AA9" s="7"/>
      <c r="AB9" s="7"/>
      <c r="AC9" s="7"/>
      <c r="AD9" s="7"/>
      <c r="AE9" s="7"/>
      <c r="AF9" s="7"/>
      <c r="AG9" s="7"/>
      <c r="AH9" s="7"/>
      <c r="AI9" s="7"/>
      <c r="AJ9" s="7"/>
      <c r="AK9" s="7"/>
      <c r="AL9" s="7"/>
      <c r="AM9" s="7"/>
      <c r="AN9" s="7"/>
      <c r="AO9" s="7"/>
      <c r="AP9" s="7"/>
      <c r="AQ9" s="7"/>
      <c r="AR9" s="7"/>
      <c r="AS9" s="7"/>
      <c r="AT9" s="7"/>
      <c r="AU9" s="7"/>
      <c r="AV9" s="7"/>
      <c r="AW9" s="7"/>
      <c r="AX9" s="7"/>
      <c r="AY9" s="7"/>
      <c r="AZ9" s="7"/>
      <c r="BA9" s="7"/>
      <c r="BB9" s="7"/>
      <c r="BC9" s="7"/>
      <c r="BD9" s="7"/>
      <c r="BE9" s="7"/>
      <c r="BF9" s="7"/>
      <c r="BG9" s="7"/>
      <c r="BH9" s="7"/>
      <c r="BI9" s="7"/>
      <c r="BJ9" s="7"/>
      <c r="BK9" s="7"/>
      <c r="BL9" s="7"/>
      <c r="BM9" s="7"/>
      <c r="BN9" s="7"/>
      <c r="BO9" s="7"/>
      <c r="BP9" s="7"/>
      <c r="BQ9" s="7"/>
      <c r="BR9" s="7"/>
      <c r="BS9" s="7"/>
      <c r="BT9" s="4"/>
    </row>
    <row r="10" spans="1:72">
      <c r="A10" s="4"/>
      <c r="B10" s="4"/>
      <c r="C10" s="7"/>
      <c r="D10" s="7"/>
      <c r="E10" s="159"/>
      <c r="F10" s="159"/>
      <c r="G10" s="159"/>
      <c r="H10" s="159"/>
      <c r="I10" s="159"/>
      <c r="J10" s="159"/>
      <c r="K10" s="159"/>
      <c r="L10" s="159"/>
      <c r="M10" s="159"/>
      <c r="N10" s="159"/>
      <c r="O10" s="159"/>
      <c r="P10" s="159"/>
      <c r="Q10" s="159"/>
      <c r="R10" s="159"/>
      <c r="S10" s="159"/>
      <c r="T10" s="7"/>
      <c r="U10" s="7"/>
      <c r="V10" s="7"/>
      <c r="W10" s="7"/>
      <c r="X10" s="7"/>
      <c r="Y10" s="7"/>
      <c r="Z10" s="7"/>
      <c r="AA10" s="7"/>
      <c r="AB10" s="7"/>
      <c r="AC10" s="7"/>
      <c r="AD10" s="7"/>
      <c r="AE10" s="7"/>
      <c r="AF10" s="7"/>
      <c r="AG10" s="7"/>
      <c r="AH10" s="7"/>
      <c r="AI10" s="7"/>
      <c r="AJ10" s="7"/>
      <c r="AK10" s="7"/>
      <c r="AL10" s="7"/>
      <c r="AM10" s="7"/>
      <c r="AN10" s="7"/>
      <c r="AO10" s="7"/>
      <c r="AP10" s="7"/>
      <c r="AQ10" s="7"/>
      <c r="AR10" s="7"/>
      <c r="AS10" s="7"/>
      <c r="AT10" s="7"/>
      <c r="AU10" s="7"/>
      <c r="AV10" s="7"/>
      <c r="AW10" s="7"/>
      <c r="AX10" s="7"/>
      <c r="AY10" s="7"/>
      <c r="AZ10" s="7"/>
      <c r="BA10" s="7"/>
      <c r="BB10" s="7"/>
      <c r="BC10" s="7"/>
      <c r="BD10" s="7"/>
      <c r="BE10" s="7"/>
      <c r="BF10" s="7"/>
      <c r="BG10" s="7"/>
      <c r="BH10" s="7"/>
      <c r="BI10" s="7"/>
      <c r="BJ10" s="7"/>
      <c r="BK10" s="7"/>
      <c r="BL10" s="7"/>
      <c r="BM10" s="7"/>
      <c r="BN10" s="7"/>
      <c r="BO10" s="7"/>
      <c r="BP10" s="7"/>
      <c r="BQ10" s="7"/>
      <c r="BR10" s="7"/>
      <c r="BS10" s="7"/>
      <c r="BT10" s="4"/>
    </row>
    <row r="11" spans="1:72">
      <c r="A11" s="4"/>
      <c r="B11" s="4"/>
      <c r="C11" s="4"/>
      <c r="D11" s="4"/>
      <c r="E11" s="4"/>
      <c r="F11" s="4"/>
      <c r="G11" s="4"/>
      <c r="H11" s="4"/>
      <c r="I11" s="4"/>
      <c r="J11" s="4"/>
      <c r="K11" s="4"/>
      <c r="L11" s="4"/>
      <c r="M11" s="4"/>
      <c r="N11" s="4"/>
      <c r="O11" s="4"/>
      <c r="P11" s="4"/>
      <c r="Q11" s="4"/>
      <c r="R11" s="4"/>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4"/>
      <c r="BE11" s="4"/>
      <c r="BF11" s="4"/>
      <c r="BG11" s="4"/>
      <c r="BH11" s="4"/>
      <c r="BI11" s="4"/>
      <c r="BJ11" s="4"/>
      <c r="BK11" s="4"/>
      <c r="BL11" s="4"/>
      <c r="BM11" s="4"/>
      <c r="BN11" s="4"/>
      <c r="BO11" s="4"/>
      <c r="BP11" s="4"/>
      <c r="BQ11" s="4"/>
      <c r="BR11" s="4"/>
      <c r="BS11" s="4"/>
      <c r="BT11" s="4"/>
    </row>
    <row r="12" spans="1:72" ht="18.600000000000001">
      <c r="A12" s="102"/>
      <c r="B12" s="102"/>
      <c r="C12" s="102" t="s">
        <v>348</v>
      </c>
      <c r="D12" s="102"/>
      <c r="E12" s="102"/>
      <c r="F12" s="102"/>
      <c r="G12" s="102"/>
      <c r="H12" s="102"/>
      <c r="I12" s="102"/>
      <c r="J12" s="102"/>
      <c r="K12" s="4"/>
      <c r="L12" s="4"/>
      <c r="M12" s="286"/>
      <c r="N12" s="271"/>
      <c r="O12" s="271"/>
      <c r="P12" s="271"/>
      <c r="Q12" s="271"/>
      <c r="R12" s="271"/>
      <c r="S12" s="271"/>
      <c r="T12" s="271"/>
      <c r="U12" s="271"/>
      <c r="V12" s="271"/>
      <c r="W12" s="271"/>
      <c r="X12" s="102"/>
      <c r="Y12" s="102"/>
      <c r="Z12" s="102"/>
      <c r="AA12" s="102"/>
      <c r="AB12" s="102"/>
      <c r="AC12" s="102"/>
      <c r="AD12" s="102"/>
      <c r="AE12" s="102"/>
      <c r="AF12" s="102"/>
      <c r="AG12" s="102"/>
      <c r="AH12" s="102"/>
      <c r="AI12" s="102"/>
      <c r="AJ12" s="102"/>
      <c r="AK12" s="102"/>
      <c r="AL12" s="102"/>
      <c r="AM12" s="102"/>
      <c r="AN12" s="102"/>
      <c r="AO12" s="102"/>
      <c r="AP12" s="102"/>
      <c r="AQ12" s="102"/>
      <c r="AR12" s="102"/>
      <c r="AS12" s="102"/>
      <c r="AT12" s="102"/>
      <c r="AU12" s="102"/>
      <c r="AV12" s="102"/>
      <c r="AW12" s="271"/>
      <c r="AX12" s="102"/>
      <c r="AY12" s="102"/>
      <c r="AZ12" s="102"/>
      <c r="BA12" s="102"/>
      <c r="BB12" s="102"/>
      <c r="BC12" s="102"/>
      <c r="BD12" s="102"/>
      <c r="BE12" s="102"/>
      <c r="BF12" s="102"/>
      <c r="BG12" s="102"/>
      <c r="BH12" s="102"/>
      <c r="BI12" s="102"/>
      <c r="BJ12" s="102"/>
      <c r="BK12" s="102"/>
      <c r="BL12" s="102"/>
      <c r="BM12" s="102"/>
      <c r="BN12" s="102"/>
      <c r="BO12" s="102"/>
      <c r="BP12" s="102"/>
      <c r="BQ12" s="102"/>
      <c r="BR12" s="102"/>
      <c r="BS12" s="102"/>
      <c r="BT12" s="102"/>
    </row>
    <row r="13" spans="1:72">
      <c r="A13" s="4"/>
      <c r="B13" s="4"/>
      <c r="C13" s="4"/>
      <c r="D13" s="4"/>
      <c r="E13" s="4"/>
      <c r="F13" s="4"/>
      <c r="G13" s="4"/>
      <c r="H13" s="4"/>
      <c r="I13" s="4"/>
      <c r="J13" s="4"/>
      <c r="K13" s="4"/>
      <c r="L13" s="4"/>
      <c r="M13" s="4"/>
      <c r="N13" s="4"/>
      <c r="O13" s="4"/>
      <c r="P13" s="4"/>
      <c r="Q13" s="4"/>
      <c r="R13" s="4"/>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4"/>
      <c r="AV13" s="4"/>
      <c r="AW13" s="4"/>
      <c r="AX13" s="4"/>
      <c r="AY13" s="4"/>
      <c r="AZ13" s="4"/>
      <c r="BA13" s="4"/>
      <c r="BB13" s="4"/>
      <c r="BC13" s="4"/>
      <c r="BD13" s="4"/>
      <c r="BE13" s="4"/>
      <c r="BF13" s="4"/>
      <c r="BG13" s="4"/>
      <c r="BH13" s="4"/>
      <c r="BI13" s="4"/>
      <c r="BJ13" s="4"/>
      <c r="BK13" s="4"/>
      <c r="BL13" s="4"/>
      <c r="BM13" s="4"/>
      <c r="BN13" s="4"/>
      <c r="BO13" s="4"/>
      <c r="BP13" s="4"/>
      <c r="BQ13" s="4"/>
      <c r="BR13" s="4"/>
      <c r="BS13" s="4"/>
      <c r="BT13" s="4"/>
    </row>
    <row r="14" spans="1:72">
      <c r="A14" s="4"/>
      <c r="B14" s="4"/>
      <c r="C14" s="7"/>
      <c r="D14" s="7"/>
      <c r="E14" s="7"/>
      <c r="F14" s="7"/>
      <c r="G14" s="7"/>
      <c r="H14" s="7"/>
      <c r="I14" s="7"/>
      <c r="J14" s="7"/>
      <c r="K14" s="7"/>
      <c r="L14" s="7"/>
      <c r="M14" s="7"/>
      <c r="N14" s="7"/>
      <c r="O14" s="7"/>
      <c r="P14" s="7"/>
      <c r="Q14" s="7"/>
      <c r="R14" s="7"/>
      <c r="S14" s="7"/>
      <c r="T14" s="7"/>
      <c r="U14" s="7"/>
      <c r="V14" s="7"/>
      <c r="W14" s="7"/>
      <c r="X14" s="7"/>
      <c r="Y14" s="7"/>
      <c r="Z14" s="7"/>
      <c r="AA14" s="7"/>
      <c r="AB14" s="7"/>
      <c r="AC14" s="7"/>
      <c r="AD14" s="7"/>
      <c r="AE14" s="7"/>
      <c r="AF14" s="7"/>
      <c r="AG14" s="7"/>
      <c r="AH14" s="7"/>
      <c r="AI14" s="7"/>
      <c r="AJ14" s="7"/>
      <c r="AK14" s="7"/>
      <c r="AL14" s="7"/>
      <c r="AM14" s="7"/>
      <c r="AN14" s="7"/>
      <c r="AO14" s="7"/>
      <c r="AP14" s="7"/>
      <c r="AQ14" s="7"/>
      <c r="AR14" s="7"/>
      <c r="AS14" s="7"/>
      <c r="AT14" s="7"/>
      <c r="AU14" s="7"/>
      <c r="AV14" s="7"/>
      <c r="AW14" s="7"/>
      <c r="AX14" s="7"/>
      <c r="AY14" s="7"/>
      <c r="AZ14" s="7"/>
      <c r="BA14" s="7"/>
      <c r="BB14" s="7"/>
      <c r="BC14" s="7"/>
      <c r="BD14" s="7"/>
      <c r="BE14" s="7"/>
      <c r="BF14" s="7"/>
      <c r="BG14" s="7"/>
      <c r="BH14" s="7"/>
      <c r="BI14" s="7"/>
      <c r="BJ14" s="7"/>
      <c r="BK14" s="7"/>
      <c r="BL14" s="7"/>
      <c r="BM14" s="7"/>
      <c r="BN14" s="7"/>
      <c r="BO14" s="7"/>
      <c r="BP14" s="7"/>
      <c r="BQ14" s="7"/>
      <c r="BR14" s="7"/>
      <c r="BS14" s="7"/>
      <c r="BT14" s="4"/>
    </row>
    <row r="15" spans="1:72" ht="16.5">
      <c r="A15" s="4"/>
      <c r="B15" s="4"/>
      <c r="C15" s="7"/>
      <c r="D15" s="80"/>
      <c r="E15" s="80"/>
      <c r="F15" s="80"/>
      <c r="G15" s="634" t="s">
        <v>349</v>
      </c>
      <c r="H15" s="634"/>
      <c r="I15" s="634"/>
      <c r="J15" s="634"/>
      <c r="K15" s="634"/>
      <c r="L15" s="634"/>
      <c r="M15" s="634"/>
      <c r="N15" s="634"/>
      <c r="O15" s="634"/>
      <c r="P15" s="634"/>
      <c r="Q15" s="634"/>
      <c r="R15" s="634"/>
      <c r="S15" s="634"/>
      <c r="T15" s="634" t="s">
        <v>119</v>
      </c>
      <c r="U15" s="634"/>
      <c r="V15" s="634"/>
      <c r="W15" s="634"/>
      <c r="X15" s="639" t="s">
        <v>185</v>
      </c>
      <c r="Y15" s="640"/>
      <c r="Z15" s="641"/>
      <c r="AA15" s="635" t="s">
        <v>350</v>
      </c>
      <c r="AB15" s="632"/>
      <c r="AC15" s="632"/>
      <c r="AD15" s="632"/>
      <c r="AE15" s="633"/>
      <c r="AF15" s="635" t="s">
        <v>351</v>
      </c>
      <c r="AG15" s="632"/>
      <c r="AH15" s="632"/>
      <c r="AI15" s="632"/>
      <c r="AJ15" s="632"/>
      <c r="AK15" s="632"/>
      <c r="AL15" s="632"/>
      <c r="AM15" s="632"/>
      <c r="AN15" s="632"/>
      <c r="AO15" s="632"/>
      <c r="AP15" s="632"/>
      <c r="AQ15" s="632"/>
      <c r="AR15" s="632"/>
      <c r="AS15" s="632"/>
      <c r="AT15" s="632"/>
      <c r="AU15" s="636" t="s">
        <v>352</v>
      </c>
      <c r="AV15" s="637"/>
      <c r="AW15" s="637"/>
      <c r="AX15" s="637"/>
      <c r="AY15" s="637"/>
      <c r="AZ15" s="637"/>
      <c r="BA15" s="637"/>
      <c r="BB15" s="637"/>
      <c r="BC15" s="637"/>
      <c r="BD15" s="638"/>
      <c r="BE15" s="632" t="s">
        <v>353</v>
      </c>
      <c r="BF15" s="632"/>
      <c r="BG15" s="632"/>
      <c r="BH15" s="632"/>
      <c r="BI15" s="632"/>
      <c r="BJ15" s="632"/>
      <c r="BK15" s="632"/>
      <c r="BL15" s="632"/>
      <c r="BM15" s="632"/>
      <c r="BN15" s="632"/>
      <c r="BO15" s="632"/>
      <c r="BP15" s="632"/>
      <c r="BQ15" s="632"/>
      <c r="BR15" s="633"/>
      <c r="BS15" s="7"/>
      <c r="BT15" s="4"/>
    </row>
    <row r="16" spans="1:72" ht="87">
      <c r="A16" s="4"/>
      <c r="B16" s="4"/>
      <c r="C16" s="7"/>
      <c r="D16" s="18" t="s">
        <v>304</v>
      </c>
      <c r="E16" s="18" t="s">
        <v>354</v>
      </c>
      <c r="F16" s="18" t="s">
        <v>355</v>
      </c>
      <c r="G16" s="281" t="s">
        <v>207</v>
      </c>
      <c r="H16" s="282" t="s">
        <v>170</v>
      </c>
      <c r="I16" s="282" t="s">
        <v>197</v>
      </c>
      <c r="J16" s="282" t="s">
        <v>191</v>
      </c>
      <c r="K16" s="282" t="s">
        <v>356</v>
      </c>
      <c r="L16" s="282" t="s">
        <v>357</v>
      </c>
      <c r="M16" s="282" t="s">
        <v>140</v>
      </c>
      <c r="N16" s="282" t="s">
        <v>258</v>
      </c>
      <c r="O16" s="282" t="s">
        <v>358</v>
      </c>
      <c r="P16" s="282" t="s">
        <v>73</v>
      </c>
      <c r="Q16" s="282" t="s">
        <v>359</v>
      </c>
      <c r="R16" s="282" t="s">
        <v>360</v>
      </c>
      <c r="S16" s="283" t="s">
        <v>36</v>
      </c>
      <c r="T16" s="281" t="s">
        <v>361</v>
      </c>
      <c r="U16" s="282" t="s">
        <v>362</v>
      </c>
      <c r="V16" s="282" t="s">
        <v>363</v>
      </c>
      <c r="W16" s="283" t="s">
        <v>364</v>
      </c>
      <c r="X16" s="281" t="s">
        <v>365</v>
      </c>
      <c r="Y16" s="282" t="s">
        <v>366</v>
      </c>
      <c r="Z16" s="283" t="s">
        <v>367</v>
      </c>
      <c r="AA16" s="59" t="s">
        <v>368</v>
      </c>
      <c r="AB16" s="18" t="s">
        <v>369</v>
      </c>
      <c r="AC16" s="18" t="s">
        <v>370</v>
      </c>
      <c r="AD16" s="18" t="s">
        <v>371</v>
      </c>
      <c r="AE16" s="272" t="s">
        <v>372</v>
      </c>
      <c r="AF16" s="59" t="s">
        <v>373</v>
      </c>
      <c r="AG16" s="18" t="s">
        <v>374</v>
      </c>
      <c r="AH16" s="18" t="s">
        <v>375</v>
      </c>
      <c r="AI16" s="18" t="s">
        <v>376</v>
      </c>
      <c r="AJ16" s="18" t="s">
        <v>377</v>
      </c>
      <c r="AK16" s="18" t="s">
        <v>378</v>
      </c>
      <c r="AL16" s="18" t="s">
        <v>379</v>
      </c>
      <c r="AM16" s="18" t="s">
        <v>380</v>
      </c>
      <c r="AN16" s="18" t="s">
        <v>381</v>
      </c>
      <c r="AO16" s="18" t="s">
        <v>382</v>
      </c>
      <c r="AP16" s="18" t="s">
        <v>383</v>
      </c>
      <c r="AQ16" s="18" t="s">
        <v>384</v>
      </c>
      <c r="AR16" s="18" t="s">
        <v>385</v>
      </c>
      <c r="AS16" s="18" t="s">
        <v>386</v>
      </c>
      <c r="AT16" s="18" t="s">
        <v>387</v>
      </c>
      <c r="AU16" s="59" t="s">
        <v>388</v>
      </c>
      <c r="AV16" s="18" t="s">
        <v>389</v>
      </c>
      <c r="AW16" s="18" t="s">
        <v>390</v>
      </c>
      <c r="AX16" s="18" t="s">
        <v>391</v>
      </c>
      <c r="AY16" s="18" t="s">
        <v>392</v>
      </c>
      <c r="AZ16" s="18" t="s">
        <v>393</v>
      </c>
      <c r="BA16" s="18" t="s">
        <v>394</v>
      </c>
      <c r="BB16" s="18" t="s">
        <v>395</v>
      </c>
      <c r="BC16" s="18" t="s">
        <v>396</v>
      </c>
      <c r="BD16" s="272" t="s">
        <v>397</v>
      </c>
      <c r="BE16" s="18" t="s">
        <v>398</v>
      </c>
      <c r="BF16" s="18" t="s">
        <v>399</v>
      </c>
      <c r="BG16" s="18" t="s">
        <v>400</v>
      </c>
      <c r="BH16" s="18" t="s">
        <v>401</v>
      </c>
      <c r="BI16" s="18" t="s">
        <v>402</v>
      </c>
      <c r="BJ16" s="18" t="s">
        <v>403</v>
      </c>
      <c r="BK16" s="18" t="s">
        <v>404</v>
      </c>
      <c r="BL16" s="18" t="s">
        <v>405</v>
      </c>
      <c r="BM16" s="18" t="s">
        <v>406</v>
      </c>
      <c r="BN16" s="18" t="s">
        <v>407</v>
      </c>
      <c r="BO16" s="18" t="s">
        <v>408</v>
      </c>
      <c r="BP16" s="18" t="s">
        <v>409</v>
      </c>
      <c r="BQ16" s="18" t="s">
        <v>410</v>
      </c>
      <c r="BR16" s="272" t="s">
        <v>411</v>
      </c>
      <c r="BS16" s="7"/>
      <c r="BT16" s="4"/>
    </row>
    <row r="17" spans="1:72" ht="130.5">
      <c r="A17" s="4"/>
      <c r="B17" s="4"/>
      <c r="C17" s="7"/>
      <c r="D17" s="18" t="s">
        <v>313</v>
      </c>
      <c r="E17" s="18" t="s">
        <v>314</v>
      </c>
      <c r="F17" s="18" t="s">
        <v>412</v>
      </c>
      <c r="G17" s="273">
        <v>0.99999000000000005</v>
      </c>
      <c r="H17" s="18" t="s">
        <v>413</v>
      </c>
      <c r="I17" s="18" t="s">
        <v>413</v>
      </c>
      <c r="J17" s="18" t="s">
        <v>413</v>
      </c>
      <c r="K17" s="18" t="s">
        <v>414</v>
      </c>
      <c r="L17" s="18" t="s">
        <v>414</v>
      </c>
      <c r="M17" s="18" t="s">
        <v>414</v>
      </c>
      <c r="N17" s="18" t="s">
        <v>414</v>
      </c>
      <c r="O17" s="18" t="s">
        <v>414</v>
      </c>
      <c r="P17" s="18" t="s">
        <v>414</v>
      </c>
      <c r="Q17" s="266" t="s">
        <v>415</v>
      </c>
      <c r="R17" s="18" t="s">
        <v>414</v>
      </c>
      <c r="S17" s="272" t="s">
        <v>416</v>
      </c>
      <c r="T17" s="59" t="s">
        <v>417</v>
      </c>
      <c r="U17" s="18" t="s">
        <v>418</v>
      </c>
      <c r="V17" s="18" t="s">
        <v>419</v>
      </c>
      <c r="W17" s="272" t="s">
        <v>420</v>
      </c>
      <c r="X17" s="59" t="s">
        <v>413</v>
      </c>
      <c r="Y17" s="18" t="s">
        <v>421</v>
      </c>
      <c r="Z17" s="272" t="s">
        <v>414</v>
      </c>
      <c r="AA17" s="59" t="s">
        <v>414</v>
      </c>
      <c r="AB17" s="18" t="s">
        <v>414</v>
      </c>
      <c r="AC17" s="18" t="s">
        <v>414</v>
      </c>
      <c r="AD17" s="18" t="s">
        <v>414</v>
      </c>
      <c r="AE17" s="272" t="s">
        <v>414</v>
      </c>
      <c r="AF17" s="59" t="s">
        <v>414</v>
      </c>
      <c r="AG17" s="18" t="s">
        <v>422</v>
      </c>
      <c r="AH17" s="18" t="s">
        <v>422</v>
      </c>
      <c r="AI17" s="18" t="s">
        <v>422</v>
      </c>
      <c r="AJ17" s="18" t="s">
        <v>414</v>
      </c>
      <c r="AK17" s="18" t="s">
        <v>414</v>
      </c>
      <c r="AL17" s="18" t="s">
        <v>414</v>
      </c>
      <c r="AM17" s="18" t="s">
        <v>414</v>
      </c>
      <c r="AN17" s="18" t="s">
        <v>414</v>
      </c>
      <c r="AO17" s="18" t="s">
        <v>414</v>
      </c>
      <c r="AP17" s="18" t="s">
        <v>414</v>
      </c>
      <c r="AQ17" s="18" t="s">
        <v>414</v>
      </c>
      <c r="AR17" s="18" t="s">
        <v>414</v>
      </c>
      <c r="AS17" s="18" t="s">
        <v>414</v>
      </c>
      <c r="AT17" s="18" t="s">
        <v>423</v>
      </c>
      <c r="AU17" s="59" t="s">
        <v>414</v>
      </c>
      <c r="AV17" s="18" t="s">
        <v>414</v>
      </c>
      <c r="AW17" s="18" t="s">
        <v>414</v>
      </c>
      <c r="AX17" s="18" t="s">
        <v>414</v>
      </c>
      <c r="AY17" s="18" t="s">
        <v>414</v>
      </c>
      <c r="AZ17" s="18" t="s">
        <v>414</v>
      </c>
      <c r="BA17" s="18" t="s">
        <v>414</v>
      </c>
      <c r="BB17" s="18" t="s">
        <v>414</v>
      </c>
      <c r="BC17" s="18" t="s">
        <v>414</v>
      </c>
      <c r="BD17" s="272" t="s">
        <v>414</v>
      </c>
      <c r="BE17" s="18" t="s">
        <v>414</v>
      </c>
      <c r="BF17" s="18" t="s">
        <v>414</v>
      </c>
      <c r="BG17" s="18" t="s">
        <v>414</v>
      </c>
      <c r="BH17" s="18" t="s">
        <v>414</v>
      </c>
      <c r="BI17" s="18" t="s">
        <v>414</v>
      </c>
      <c r="BJ17" s="18" t="s">
        <v>414</v>
      </c>
      <c r="BK17" s="18" t="s">
        <v>414</v>
      </c>
      <c r="BL17" s="18" t="s">
        <v>414</v>
      </c>
      <c r="BM17" s="18" t="s">
        <v>414</v>
      </c>
      <c r="BN17" s="18" t="s">
        <v>414</v>
      </c>
      <c r="BO17" s="18" t="s">
        <v>414</v>
      </c>
      <c r="BP17" s="18" t="s">
        <v>414</v>
      </c>
      <c r="BQ17" s="18" t="s">
        <v>414</v>
      </c>
      <c r="BR17" s="272" t="s">
        <v>424</v>
      </c>
      <c r="BS17" s="7"/>
      <c r="BT17" s="4"/>
    </row>
    <row r="18" spans="1:72" ht="130.5">
      <c r="A18" s="4"/>
      <c r="B18" s="4"/>
      <c r="C18" s="7"/>
      <c r="D18" s="18" t="s">
        <v>313</v>
      </c>
      <c r="E18" s="18" t="s">
        <v>319</v>
      </c>
      <c r="F18" s="18" t="s">
        <v>412</v>
      </c>
      <c r="G18" s="273">
        <v>0.99999000000000005</v>
      </c>
      <c r="H18" s="18" t="s">
        <v>413</v>
      </c>
      <c r="I18" s="18" t="s">
        <v>413</v>
      </c>
      <c r="J18" s="18" t="s">
        <v>413</v>
      </c>
      <c r="K18" s="18" t="s">
        <v>414</v>
      </c>
      <c r="L18" s="18" t="s">
        <v>414</v>
      </c>
      <c r="M18" s="18" t="s">
        <v>414</v>
      </c>
      <c r="N18" s="18" t="s">
        <v>414</v>
      </c>
      <c r="O18" s="18" t="s">
        <v>414</v>
      </c>
      <c r="P18" s="18" t="s">
        <v>414</v>
      </c>
      <c r="Q18" s="266" t="s">
        <v>415</v>
      </c>
      <c r="R18" s="18" t="s">
        <v>414</v>
      </c>
      <c r="S18" s="272" t="s">
        <v>416</v>
      </c>
      <c r="T18" s="59" t="s">
        <v>417</v>
      </c>
      <c r="U18" s="18" t="s">
        <v>418</v>
      </c>
      <c r="V18" s="18" t="s">
        <v>425</v>
      </c>
      <c r="W18" s="272" t="s">
        <v>420</v>
      </c>
      <c r="X18" s="59" t="s">
        <v>413</v>
      </c>
      <c r="Y18" s="18" t="s">
        <v>421</v>
      </c>
      <c r="Z18" s="272" t="s">
        <v>414</v>
      </c>
      <c r="AA18" s="59" t="s">
        <v>414</v>
      </c>
      <c r="AB18" s="18" t="s">
        <v>414</v>
      </c>
      <c r="AC18" s="18" t="s">
        <v>414</v>
      </c>
      <c r="AD18" s="18" t="s">
        <v>414</v>
      </c>
      <c r="AE18" s="272" t="s">
        <v>414</v>
      </c>
      <c r="AF18" s="59" t="s">
        <v>414</v>
      </c>
      <c r="AG18" s="18" t="s">
        <v>422</v>
      </c>
      <c r="AH18" s="18" t="s">
        <v>422</v>
      </c>
      <c r="AI18" s="18" t="s">
        <v>422</v>
      </c>
      <c r="AJ18" s="18" t="s">
        <v>414</v>
      </c>
      <c r="AK18" s="18" t="s">
        <v>414</v>
      </c>
      <c r="AL18" s="18" t="s">
        <v>414</v>
      </c>
      <c r="AM18" s="18" t="s">
        <v>414</v>
      </c>
      <c r="AN18" s="18" t="s">
        <v>414</v>
      </c>
      <c r="AO18" s="18" t="s">
        <v>414</v>
      </c>
      <c r="AP18" s="18" t="s">
        <v>414</v>
      </c>
      <c r="AQ18" s="18" t="s">
        <v>414</v>
      </c>
      <c r="AR18" s="18" t="s">
        <v>414</v>
      </c>
      <c r="AS18" s="18" t="s">
        <v>414</v>
      </c>
      <c r="AT18" s="18" t="s">
        <v>423</v>
      </c>
      <c r="AU18" s="59" t="s">
        <v>414</v>
      </c>
      <c r="AV18" s="18" t="s">
        <v>414</v>
      </c>
      <c r="AW18" s="18" t="s">
        <v>414</v>
      </c>
      <c r="AX18" s="18" t="s">
        <v>414</v>
      </c>
      <c r="AY18" s="18" t="s">
        <v>414</v>
      </c>
      <c r="AZ18" s="18" t="s">
        <v>414</v>
      </c>
      <c r="BA18" s="18" t="s">
        <v>414</v>
      </c>
      <c r="BB18" s="18" t="s">
        <v>414</v>
      </c>
      <c r="BC18" s="18" t="s">
        <v>414</v>
      </c>
      <c r="BD18" s="272" t="s">
        <v>414</v>
      </c>
      <c r="BE18" s="18" t="s">
        <v>414</v>
      </c>
      <c r="BF18" s="18" t="s">
        <v>414</v>
      </c>
      <c r="BG18" s="18" t="s">
        <v>414</v>
      </c>
      <c r="BH18" s="18" t="s">
        <v>414</v>
      </c>
      <c r="BI18" s="18" t="s">
        <v>414</v>
      </c>
      <c r="BJ18" s="18" t="s">
        <v>414</v>
      </c>
      <c r="BK18" s="18" t="s">
        <v>414</v>
      </c>
      <c r="BL18" s="18" t="s">
        <v>414</v>
      </c>
      <c r="BM18" s="18" t="s">
        <v>414</v>
      </c>
      <c r="BN18" s="18" t="s">
        <v>414</v>
      </c>
      <c r="BO18" s="18" t="s">
        <v>414</v>
      </c>
      <c r="BP18" s="18" t="s">
        <v>414</v>
      </c>
      <c r="BQ18" s="18" t="s">
        <v>414</v>
      </c>
      <c r="BR18" s="272" t="s">
        <v>424</v>
      </c>
      <c r="BS18" s="7"/>
      <c r="BT18" s="4"/>
    </row>
    <row r="19" spans="1:72" ht="130.5">
      <c r="A19" s="4"/>
      <c r="B19" s="4"/>
      <c r="C19" s="7"/>
      <c r="D19" s="18" t="s">
        <v>313</v>
      </c>
      <c r="E19" s="18" t="s">
        <v>322</v>
      </c>
      <c r="F19" s="18" t="s">
        <v>412</v>
      </c>
      <c r="G19" s="273">
        <v>0.99999000000000005</v>
      </c>
      <c r="H19" s="18" t="s">
        <v>413</v>
      </c>
      <c r="I19" s="18" t="s">
        <v>413</v>
      </c>
      <c r="J19" s="18" t="s">
        <v>413</v>
      </c>
      <c r="K19" s="18" t="s">
        <v>414</v>
      </c>
      <c r="L19" s="18" t="s">
        <v>414</v>
      </c>
      <c r="M19" s="18" t="s">
        <v>414</v>
      </c>
      <c r="N19" s="18" t="s">
        <v>413</v>
      </c>
      <c r="O19" s="18" t="s">
        <v>414</v>
      </c>
      <c r="P19" s="18" t="s">
        <v>414</v>
      </c>
      <c r="Q19" s="266" t="s">
        <v>415</v>
      </c>
      <c r="R19" s="18" t="s">
        <v>414</v>
      </c>
      <c r="S19" s="272" t="s">
        <v>416</v>
      </c>
      <c r="T19" s="59" t="s">
        <v>417</v>
      </c>
      <c r="U19" s="18" t="s">
        <v>418</v>
      </c>
      <c r="V19" s="18" t="s">
        <v>425</v>
      </c>
      <c r="W19" s="272" t="s">
        <v>420</v>
      </c>
      <c r="X19" s="59" t="s">
        <v>426</v>
      </c>
      <c r="Y19" s="18" t="s">
        <v>421</v>
      </c>
      <c r="Z19" s="272" t="s">
        <v>414</v>
      </c>
      <c r="AA19" s="59" t="s">
        <v>414</v>
      </c>
      <c r="AB19" s="18" t="s">
        <v>414</v>
      </c>
      <c r="AC19" s="18" t="s">
        <v>414</v>
      </c>
      <c r="AD19" s="18" t="s">
        <v>414</v>
      </c>
      <c r="AE19" s="272" t="s">
        <v>414</v>
      </c>
      <c r="AF19" s="59" t="s">
        <v>414</v>
      </c>
      <c r="AG19" s="18" t="s">
        <v>422</v>
      </c>
      <c r="AH19" s="18" t="s">
        <v>422</v>
      </c>
      <c r="AI19" s="18" t="s">
        <v>422</v>
      </c>
      <c r="AJ19" s="18" t="s">
        <v>414</v>
      </c>
      <c r="AK19" s="18" t="s">
        <v>414</v>
      </c>
      <c r="AL19" s="18" t="s">
        <v>414</v>
      </c>
      <c r="AM19" s="18" t="s">
        <v>414</v>
      </c>
      <c r="AN19" s="18" t="s">
        <v>414</v>
      </c>
      <c r="AO19" s="18" t="s">
        <v>414</v>
      </c>
      <c r="AP19" s="18" t="s">
        <v>414</v>
      </c>
      <c r="AQ19" s="18" t="s">
        <v>414</v>
      </c>
      <c r="AR19" s="18" t="s">
        <v>414</v>
      </c>
      <c r="AS19" s="18" t="s">
        <v>414</v>
      </c>
      <c r="AT19" s="18" t="s">
        <v>423</v>
      </c>
      <c r="AU19" s="59" t="s">
        <v>414</v>
      </c>
      <c r="AV19" s="18" t="s">
        <v>414</v>
      </c>
      <c r="AW19" s="18" t="s">
        <v>414</v>
      </c>
      <c r="AX19" s="18" t="s">
        <v>414</v>
      </c>
      <c r="AY19" s="18" t="s">
        <v>414</v>
      </c>
      <c r="AZ19" s="18" t="s">
        <v>414</v>
      </c>
      <c r="BA19" s="18" t="s">
        <v>414</v>
      </c>
      <c r="BB19" s="18" t="s">
        <v>414</v>
      </c>
      <c r="BC19" s="18" t="s">
        <v>414</v>
      </c>
      <c r="BD19" s="272" t="s">
        <v>414</v>
      </c>
      <c r="BE19" s="18" t="s">
        <v>414</v>
      </c>
      <c r="BF19" s="18" t="s">
        <v>414</v>
      </c>
      <c r="BG19" s="18" t="s">
        <v>414</v>
      </c>
      <c r="BH19" s="18" t="s">
        <v>414</v>
      </c>
      <c r="BI19" s="18" t="s">
        <v>414</v>
      </c>
      <c r="BJ19" s="18" t="s">
        <v>414</v>
      </c>
      <c r="BK19" s="18" t="s">
        <v>414</v>
      </c>
      <c r="BL19" s="18" t="s">
        <v>414</v>
      </c>
      <c r="BM19" s="18" t="s">
        <v>414</v>
      </c>
      <c r="BN19" s="18" t="s">
        <v>414</v>
      </c>
      <c r="BO19" s="18" t="s">
        <v>414</v>
      </c>
      <c r="BP19" s="18" t="s">
        <v>414</v>
      </c>
      <c r="BQ19" s="18" t="s">
        <v>414</v>
      </c>
      <c r="BR19" s="272" t="s">
        <v>424</v>
      </c>
      <c r="BS19" s="7"/>
      <c r="BT19" s="4"/>
    </row>
    <row r="20" spans="1:72" ht="130.5">
      <c r="A20" s="4"/>
      <c r="B20" s="4"/>
      <c r="C20" s="7"/>
      <c r="D20" s="18" t="s">
        <v>313</v>
      </c>
      <c r="E20" s="18" t="s">
        <v>324</v>
      </c>
      <c r="F20" s="18" t="s">
        <v>412</v>
      </c>
      <c r="G20" s="273">
        <v>0.99999000000000005</v>
      </c>
      <c r="H20" s="18" t="s">
        <v>413</v>
      </c>
      <c r="I20" s="18" t="s">
        <v>413</v>
      </c>
      <c r="J20" s="18" t="s">
        <v>413</v>
      </c>
      <c r="K20" s="18" t="s">
        <v>414</v>
      </c>
      <c r="L20" s="18" t="s">
        <v>414</v>
      </c>
      <c r="M20" s="18" t="s">
        <v>414</v>
      </c>
      <c r="N20" s="18" t="s">
        <v>414</v>
      </c>
      <c r="O20" s="18" t="s">
        <v>414</v>
      </c>
      <c r="P20" s="18" t="s">
        <v>414</v>
      </c>
      <c r="Q20" s="266" t="s">
        <v>415</v>
      </c>
      <c r="R20" s="18" t="s">
        <v>414</v>
      </c>
      <c r="S20" s="272" t="s">
        <v>416</v>
      </c>
      <c r="T20" s="59" t="s">
        <v>417</v>
      </c>
      <c r="U20" s="18" t="s">
        <v>418</v>
      </c>
      <c r="V20" s="18" t="s">
        <v>419</v>
      </c>
      <c r="W20" s="272" t="s">
        <v>420</v>
      </c>
      <c r="X20" s="59" t="s">
        <v>426</v>
      </c>
      <c r="Y20" s="18" t="s">
        <v>421</v>
      </c>
      <c r="Z20" s="272" t="s">
        <v>414</v>
      </c>
      <c r="AA20" s="59" t="s">
        <v>414</v>
      </c>
      <c r="AB20" s="18" t="s">
        <v>414</v>
      </c>
      <c r="AC20" s="18" t="s">
        <v>414</v>
      </c>
      <c r="AD20" s="18" t="s">
        <v>414</v>
      </c>
      <c r="AE20" s="272" t="s">
        <v>414</v>
      </c>
      <c r="AF20" s="59" t="s">
        <v>414</v>
      </c>
      <c r="AG20" s="18" t="s">
        <v>422</v>
      </c>
      <c r="AH20" s="18" t="s">
        <v>422</v>
      </c>
      <c r="AI20" s="18" t="s">
        <v>422</v>
      </c>
      <c r="AJ20" s="18" t="s">
        <v>414</v>
      </c>
      <c r="AK20" s="18" t="s">
        <v>414</v>
      </c>
      <c r="AL20" s="18" t="s">
        <v>414</v>
      </c>
      <c r="AM20" s="18" t="s">
        <v>414</v>
      </c>
      <c r="AN20" s="18" t="s">
        <v>414</v>
      </c>
      <c r="AO20" s="18" t="s">
        <v>414</v>
      </c>
      <c r="AP20" s="18" t="s">
        <v>414</v>
      </c>
      <c r="AQ20" s="18" t="s">
        <v>414</v>
      </c>
      <c r="AR20" s="18" t="s">
        <v>414</v>
      </c>
      <c r="AS20" s="18" t="s">
        <v>414</v>
      </c>
      <c r="AT20" s="18" t="s">
        <v>423</v>
      </c>
      <c r="AU20" s="59" t="s">
        <v>414</v>
      </c>
      <c r="AV20" s="18" t="s">
        <v>414</v>
      </c>
      <c r="AW20" s="18" t="s">
        <v>414</v>
      </c>
      <c r="AX20" s="18" t="s">
        <v>414</v>
      </c>
      <c r="AY20" s="18" t="s">
        <v>414</v>
      </c>
      <c r="AZ20" s="18" t="s">
        <v>414</v>
      </c>
      <c r="BA20" s="18" t="s">
        <v>414</v>
      </c>
      <c r="BB20" s="18" t="s">
        <v>414</v>
      </c>
      <c r="BC20" s="18" t="s">
        <v>414</v>
      </c>
      <c r="BD20" s="272" t="s">
        <v>414</v>
      </c>
      <c r="BE20" s="18" t="s">
        <v>414</v>
      </c>
      <c r="BF20" s="18" t="s">
        <v>414</v>
      </c>
      <c r="BG20" s="18" t="s">
        <v>414</v>
      </c>
      <c r="BH20" s="18" t="s">
        <v>414</v>
      </c>
      <c r="BI20" s="18" t="s">
        <v>414</v>
      </c>
      <c r="BJ20" s="18" t="s">
        <v>414</v>
      </c>
      <c r="BK20" s="18" t="s">
        <v>414</v>
      </c>
      <c r="BL20" s="18" t="s">
        <v>414</v>
      </c>
      <c r="BM20" s="18" t="s">
        <v>414</v>
      </c>
      <c r="BN20" s="18" t="s">
        <v>414</v>
      </c>
      <c r="BO20" s="18" t="s">
        <v>414</v>
      </c>
      <c r="BP20" s="18" t="s">
        <v>414</v>
      </c>
      <c r="BQ20" s="18" t="s">
        <v>414</v>
      </c>
      <c r="BR20" s="272" t="s">
        <v>424</v>
      </c>
      <c r="BS20" s="7"/>
      <c r="BT20" s="4"/>
    </row>
    <row r="21" spans="1:72" ht="130.5">
      <c r="A21" s="4"/>
      <c r="B21" s="4"/>
      <c r="C21" s="7"/>
      <c r="D21" s="18" t="s">
        <v>313</v>
      </c>
      <c r="E21" s="18" t="s">
        <v>326</v>
      </c>
      <c r="F21" s="18" t="s">
        <v>412</v>
      </c>
      <c r="G21" s="273">
        <v>0.99999000000000005</v>
      </c>
      <c r="H21" s="18" t="s">
        <v>413</v>
      </c>
      <c r="I21" s="18" t="s">
        <v>413</v>
      </c>
      <c r="J21" s="18" t="s">
        <v>413</v>
      </c>
      <c r="K21" s="18" t="s">
        <v>414</v>
      </c>
      <c r="L21" s="18" t="s">
        <v>414</v>
      </c>
      <c r="M21" s="18" t="s">
        <v>414</v>
      </c>
      <c r="N21" s="18" t="s">
        <v>413</v>
      </c>
      <c r="O21" s="18" t="s">
        <v>414</v>
      </c>
      <c r="P21" s="18" t="s">
        <v>414</v>
      </c>
      <c r="Q21" s="266" t="s">
        <v>415</v>
      </c>
      <c r="R21" s="18" t="s">
        <v>414</v>
      </c>
      <c r="S21" s="272" t="s">
        <v>416</v>
      </c>
      <c r="T21" s="59" t="s">
        <v>417</v>
      </c>
      <c r="U21" s="18" t="s">
        <v>418</v>
      </c>
      <c r="V21" s="18" t="s">
        <v>419</v>
      </c>
      <c r="W21" s="272" t="s">
        <v>420</v>
      </c>
      <c r="X21" s="59" t="s">
        <v>413</v>
      </c>
      <c r="Y21" s="18" t="s">
        <v>421</v>
      </c>
      <c r="Z21" s="272" t="s">
        <v>414</v>
      </c>
      <c r="AA21" s="59" t="s">
        <v>414</v>
      </c>
      <c r="AB21" s="18" t="s">
        <v>414</v>
      </c>
      <c r="AC21" s="18" t="s">
        <v>414</v>
      </c>
      <c r="AD21" s="18" t="s">
        <v>414</v>
      </c>
      <c r="AE21" s="272" t="s">
        <v>414</v>
      </c>
      <c r="AF21" s="59" t="s">
        <v>414</v>
      </c>
      <c r="AG21" s="18" t="s">
        <v>422</v>
      </c>
      <c r="AH21" s="18" t="s">
        <v>422</v>
      </c>
      <c r="AI21" s="18" t="s">
        <v>422</v>
      </c>
      <c r="AJ21" s="18" t="s">
        <v>414</v>
      </c>
      <c r="AK21" s="18" t="s">
        <v>414</v>
      </c>
      <c r="AL21" s="18" t="s">
        <v>414</v>
      </c>
      <c r="AM21" s="18" t="s">
        <v>414</v>
      </c>
      <c r="AN21" s="18" t="s">
        <v>414</v>
      </c>
      <c r="AO21" s="18" t="s">
        <v>414</v>
      </c>
      <c r="AP21" s="18" t="s">
        <v>414</v>
      </c>
      <c r="AQ21" s="18" t="s">
        <v>414</v>
      </c>
      <c r="AR21" s="18" t="s">
        <v>414</v>
      </c>
      <c r="AS21" s="18" t="s">
        <v>414</v>
      </c>
      <c r="AT21" s="18" t="s">
        <v>423</v>
      </c>
      <c r="AU21" s="59" t="s">
        <v>414</v>
      </c>
      <c r="AV21" s="18" t="s">
        <v>414</v>
      </c>
      <c r="AW21" s="18" t="s">
        <v>414</v>
      </c>
      <c r="AX21" s="18" t="s">
        <v>414</v>
      </c>
      <c r="AY21" s="18" t="s">
        <v>414</v>
      </c>
      <c r="AZ21" s="18" t="s">
        <v>414</v>
      </c>
      <c r="BA21" s="18" t="s">
        <v>414</v>
      </c>
      <c r="BB21" s="18" t="s">
        <v>414</v>
      </c>
      <c r="BC21" s="18" t="s">
        <v>414</v>
      </c>
      <c r="BD21" s="272" t="s">
        <v>414</v>
      </c>
      <c r="BE21" s="18" t="s">
        <v>414</v>
      </c>
      <c r="BF21" s="18" t="s">
        <v>414</v>
      </c>
      <c r="BG21" s="18" t="s">
        <v>414</v>
      </c>
      <c r="BH21" s="18" t="s">
        <v>414</v>
      </c>
      <c r="BI21" s="18" t="s">
        <v>414</v>
      </c>
      <c r="BJ21" s="18" t="s">
        <v>414</v>
      </c>
      <c r="BK21" s="18" t="s">
        <v>414</v>
      </c>
      <c r="BL21" s="18" t="s">
        <v>414</v>
      </c>
      <c r="BM21" s="18" t="s">
        <v>414</v>
      </c>
      <c r="BN21" s="18" t="s">
        <v>414</v>
      </c>
      <c r="BO21" s="18" t="s">
        <v>414</v>
      </c>
      <c r="BP21" s="18" t="s">
        <v>414</v>
      </c>
      <c r="BQ21" s="18" t="s">
        <v>414</v>
      </c>
      <c r="BR21" s="272" t="s">
        <v>424</v>
      </c>
      <c r="BS21" s="7"/>
      <c r="BT21" s="4"/>
    </row>
    <row r="22" spans="1:72" ht="130.5">
      <c r="A22" s="4"/>
      <c r="B22" s="4"/>
      <c r="C22" s="7"/>
      <c r="D22" s="18" t="s">
        <v>313</v>
      </c>
      <c r="E22" s="18" t="s">
        <v>328</v>
      </c>
      <c r="F22" s="18" t="s">
        <v>412</v>
      </c>
      <c r="G22" s="273">
        <v>0.99999000000000005</v>
      </c>
      <c r="H22" s="18" t="s">
        <v>413</v>
      </c>
      <c r="I22" s="18" t="s">
        <v>413</v>
      </c>
      <c r="J22" s="18" t="s">
        <v>413</v>
      </c>
      <c r="K22" s="18" t="s">
        <v>414</v>
      </c>
      <c r="L22" s="18" t="s">
        <v>414</v>
      </c>
      <c r="M22" s="18" t="s">
        <v>414</v>
      </c>
      <c r="N22" s="18" t="s">
        <v>414</v>
      </c>
      <c r="O22" s="18" t="s">
        <v>414</v>
      </c>
      <c r="P22" s="18" t="s">
        <v>414</v>
      </c>
      <c r="Q22" s="266" t="s">
        <v>415</v>
      </c>
      <c r="R22" s="18" t="s">
        <v>414</v>
      </c>
      <c r="S22" s="272" t="s">
        <v>416</v>
      </c>
      <c r="T22" s="59" t="s">
        <v>417</v>
      </c>
      <c r="U22" s="18" t="s">
        <v>418</v>
      </c>
      <c r="V22" s="18" t="s">
        <v>419</v>
      </c>
      <c r="W22" s="272" t="s">
        <v>420</v>
      </c>
      <c r="X22" s="59" t="s">
        <v>413</v>
      </c>
      <c r="Y22" s="18" t="s">
        <v>421</v>
      </c>
      <c r="Z22" s="272" t="s">
        <v>414</v>
      </c>
      <c r="AA22" s="59" t="s">
        <v>414</v>
      </c>
      <c r="AB22" s="18" t="s">
        <v>414</v>
      </c>
      <c r="AC22" s="18" t="s">
        <v>414</v>
      </c>
      <c r="AD22" s="18" t="s">
        <v>414</v>
      </c>
      <c r="AE22" s="272" t="s">
        <v>414</v>
      </c>
      <c r="AF22" s="59" t="s">
        <v>414</v>
      </c>
      <c r="AG22" s="18" t="s">
        <v>422</v>
      </c>
      <c r="AH22" s="18" t="s">
        <v>422</v>
      </c>
      <c r="AI22" s="18" t="s">
        <v>422</v>
      </c>
      <c r="AJ22" s="18" t="s">
        <v>414</v>
      </c>
      <c r="AK22" s="18" t="s">
        <v>414</v>
      </c>
      <c r="AL22" s="18" t="s">
        <v>414</v>
      </c>
      <c r="AM22" s="18" t="s">
        <v>414</v>
      </c>
      <c r="AN22" s="18" t="s">
        <v>414</v>
      </c>
      <c r="AO22" s="18" t="s">
        <v>414</v>
      </c>
      <c r="AP22" s="18" t="s">
        <v>414</v>
      </c>
      <c r="AQ22" s="18" t="s">
        <v>414</v>
      </c>
      <c r="AR22" s="18" t="s">
        <v>414</v>
      </c>
      <c r="AS22" s="18" t="s">
        <v>414</v>
      </c>
      <c r="AT22" s="18" t="s">
        <v>423</v>
      </c>
      <c r="AU22" s="59" t="s">
        <v>414</v>
      </c>
      <c r="AV22" s="18" t="s">
        <v>414</v>
      </c>
      <c r="AW22" s="18" t="s">
        <v>414</v>
      </c>
      <c r="AX22" s="18" t="s">
        <v>414</v>
      </c>
      <c r="AY22" s="18" t="s">
        <v>414</v>
      </c>
      <c r="AZ22" s="18" t="s">
        <v>414</v>
      </c>
      <c r="BA22" s="18" t="s">
        <v>414</v>
      </c>
      <c r="BB22" s="18" t="s">
        <v>414</v>
      </c>
      <c r="BC22" s="18" t="s">
        <v>414</v>
      </c>
      <c r="BD22" s="272" t="s">
        <v>414</v>
      </c>
      <c r="BE22" s="18" t="s">
        <v>414</v>
      </c>
      <c r="BF22" s="18" t="s">
        <v>414</v>
      </c>
      <c r="BG22" s="18" t="s">
        <v>414</v>
      </c>
      <c r="BH22" s="18" t="s">
        <v>414</v>
      </c>
      <c r="BI22" s="18" t="s">
        <v>414</v>
      </c>
      <c r="BJ22" s="18" t="s">
        <v>414</v>
      </c>
      <c r="BK22" s="18" t="s">
        <v>414</v>
      </c>
      <c r="BL22" s="18" t="s">
        <v>414</v>
      </c>
      <c r="BM22" s="18" t="s">
        <v>414</v>
      </c>
      <c r="BN22" s="18" t="s">
        <v>414</v>
      </c>
      <c r="BO22" s="18" t="s">
        <v>414</v>
      </c>
      <c r="BP22" s="18" t="s">
        <v>414</v>
      </c>
      <c r="BQ22" s="18" t="s">
        <v>414</v>
      </c>
      <c r="BR22" s="272" t="s">
        <v>424</v>
      </c>
      <c r="BS22" s="7"/>
      <c r="BT22" s="4"/>
    </row>
    <row r="23" spans="1:72" ht="29.1">
      <c r="A23" s="4"/>
      <c r="B23" s="4"/>
      <c r="C23" s="7"/>
      <c r="D23" s="18" t="s">
        <v>330</v>
      </c>
      <c r="E23" s="18" t="s">
        <v>331</v>
      </c>
      <c r="F23" s="18" t="s">
        <v>427</v>
      </c>
      <c r="G23" s="274">
        <v>0.99990000000000001</v>
      </c>
      <c r="H23" s="18" t="s">
        <v>413</v>
      </c>
      <c r="I23" s="18" t="s">
        <v>413</v>
      </c>
      <c r="J23" s="18" t="s">
        <v>413</v>
      </c>
      <c r="K23" s="18" t="s">
        <v>428</v>
      </c>
      <c r="L23" s="18" t="s">
        <v>428</v>
      </c>
      <c r="M23" s="18" t="s">
        <v>414</v>
      </c>
      <c r="N23" s="18" t="s">
        <v>428</v>
      </c>
      <c r="O23" s="18" t="s">
        <v>414</v>
      </c>
      <c r="P23" s="18" t="s">
        <v>414</v>
      </c>
      <c r="Q23" s="266" t="s">
        <v>429</v>
      </c>
      <c r="R23" s="175" t="s">
        <v>428</v>
      </c>
      <c r="S23" s="171" t="s">
        <v>430</v>
      </c>
      <c r="T23" s="59" t="s">
        <v>428</v>
      </c>
      <c r="U23" s="18" t="s">
        <v>428</v>
      </c>
      <c r="V23" s="18" t="s">
        <v>431</v>
      </c>
      <c r="W23" s="272" t="s">
        <v>428</v>
      </c>
      <c r="X23" s="59" t="s">
        <v>413</v>
      </c>
      <c r="Y23" s="18" t="s">
        <v>432</v>
      </c>
      <c r="Z23" s="272" t="s">
        <v>428</v>
      </c>
      <c r="AA23" s="59" t="s">
        <v>414</v>
      </c>
      <c r="AB23" s="18" t="s">
        <v>414</v>
      </c>
      <c r="AC23" s="18" t="s">
        <v>414</v>
      </c>
      <c r="AD23" s="18" t="s">
        <v>414</v>
      </c>
      <c r="AE23" s="272" t="s">
        <v>428</v>
      </c>
      <c r="AF23" s="59" t="s">
        <v>428</v>
      </c>
      <c r="AG23" s="18" t="s">
        <v>428</v>
      </c>
      <c r="AH23" s="18" t="s">
        <v>428</v>
      </c>
      <c r="AI23" s="18" t="s">
        <v>428</v>
      </c>
      <c r="AJ23" s="18" t="s">
        <v>428</v>
      </c>
      <c r="AK23" s="18" t="s">
        <v>428</v>
      </c>
      <c r="AL23" s="18" t="s">
        <v>428</v>
      </c>
      <c r="AM23" s="18" t="s">
        <v>428</v>
      </c>
      <c r="AN23" s="18" t="s">
        <v>428</v>
      </c>
      <c r="AO23" s="18" t="s">
        <v>428</v>
      </c>
      <c r="AP23" s="18" t="s">
        <v>428</v>
      </c>
      <c r="AQ23" s="18" t="s">
        <v>428</v>
      </c>
      <c r="AR23" s="18" t="s">
        <v>428</v>
      </c>
      <c r="AS23" s="18" t="s">
        <v>428</v>
      </c>
      <c r="AT23" s="18" t="s">
        <v>433</v>
      </c>
      <c r="AU23" s="59" t="s">
        <v>414</v>
      </c>
      <c r="AV23" s="18" t="s">
        <v>428</v>
      </c>
      <c r="AW23" s="18" t="s">
        <v>414</v>
      </c>
      <c r="AX23" s="18" t="s">
        <v>414</v>
      </c>
      <c r="AY23" s="18" t="s">
        <v>414</v>
      </c>
      <c r="AZ23" s="18" t="s">
        <v>414</v>
      </c>
      <c r="BA23" s="18" t="s">
        <v>414</v>
      </c>
      <c r="BB23" s="18" t="s">
        <v>428</v>
      </c>
      <c r="BC23" s="18" t="s">
        <v>428</v>
      </c>
      <c r="BD23" s="272" t="s">
        <v>428</v>
      </c>
      <c r="BE23" s="18" t="s">
        <v>414</v>
      </c>
      <c r="BF23" s="18" t="s">
        <v>428</v>
      </c>
      <c r="BG23" s="18" t="s">
        <v>414</v>
      </c>
      <c r="BH23" s="18" t="s">
        <v>428</v>
      </c>
      <c r="BI23" s="18" t="s">
        <v>428</v>
      </c>
      <c r="BJ23" s="18" t="s">
        <v>428</v>
      </c>
      <c r="BK23" s="18" t="s">
        <v>428</v>
      </c>
      <c r="BL23" s="18" t="s">
        <v>428</v>
      </c>
      <c r="BM23" s="18" t="s">
        <v>428</v>
      </c>
      <c r="BN23" s="18" t="s">
        <v>428</v>
      </c>
      <c r="BO23" s="18" t="s">
        <v>428</v>
      </c>
      <c r="BP23" s="18" t="s">
        <v>414</v>
      </c>
      <c r="BQ23" s="18" t="s">
        <v>413</v>
      </c>
      <c r="BR23" s="272" t="s">
        <v>434</v>
      </c>
      <c r="BS23" s="7"/>
      <c r="BT23" s="4"/>
    </row>
    <row r="24" spans="1:72" ht="29.1">
      <c r="A24" s="4"/>
      <c r="B24" s="4"/>
      <c r="C24" s="7"/>
      <c r="D24" s="18" t="s">
        <v>334</v>
      </c>
      <c r="E24" s="18" t="s">
        <v>335</v>
      </c>
      <c r="F24" s="18" t="s">
        <v>435</v>
      </c>
      <c r="G24" s="275">
        <v>0.999</v>
      </c>
      <c r="H24" s="18" t="s">
        <v>413</v>
      </c>
      <c r="I24" s="18" t="s">
        <v>413</v>
      </c>
      <c r="J24" s="18" t="s">
        <v>413</v>
      </c>
      <c r="K24" s="18" t="s">
        <v>428</v>
      </c>
      <c r="L24" s="18" t="s">
        <v>428</v>
      </c>
      <c r="M24" s="18" t="s">
        <v>414</v>
      </c>
      <c r="N24" s="18" t="s">
        <v>428</v>
      </c>
      <c r="O24" s="18" t="s">
        <v>428</v>
      </c>
      <c r="P24" s="18" t="s">
        <v>428</v>
      </c>
      <c r="Q24" s="266" t="s">
        <v>429</v>
      </c>
      <c r="R24" s="175" t="s">
        <v>428</v>
      </c>
      <c r="S24" s="171" t="s">
        <v>430</v>
      </c>
      <c r="T24" s="59" t="s">
        <v>428</v>
      </c>
      <c r="U24" s="18" t="s">
        <v>428</v>
      </c>
      <c r="V24" s="18" t="s">
        <v>436</v>
      </c>
      <c r="W24" s="272" t="s">
        <v>428</v>
      </c>
      <c r="X24" s="59" t="s">
        <v>413</v>
      </c>
      <c r="Y24" s="18" t="s">
        <v>437</v>
      </c>
      <c r="Z24" s="272" t="s">
        <v>428</v>
      </c>
      <c r="AA24" s="59" t="s">
        <v>414</v>
      </c>
      <c r="AB24" s="18" t="s">
        <v>414</v>
      </c>
      <c r="AC24" s="18" t="s">
        <v>414</v>
      </c>
      <c r="AD24" s="18" t="s">
        <v>414</v>
      </c>
      <c r="AE24" s="272" t="s">
        <v>428</v>
      </c>
      <c r="AF24" s="59" t="s">
        <v>428</v>
      </c>
      <c r="AG24" s="18" t="s">
        <v>428</v>
      </c>
      <c r="AH24" s="18" t="s">
        <v>428</v>
      </c>
      <c r="AI24" s="18" t="s">
        <v>428</v>
      </c>
      <c r="AJ24" s="18" t="s">
        <v>428</v>
      </c>
      <c r="AK24" s="18" t="s">
        <v>428</v>
      </c>
      <c r="AL24" s="18" t="s">
        <v>428</v>
      </c>
      <c r="AM24" s="18" t="s">
        <v>428</v>
      </c>
      <c r="AN24" s="18" t="s">
        <v>428</v>
      </c>
      <c r="AO24" s="18" t="s">
        <v>428</v>
      </c>
      <c r="AP24" s="18" t="s">
        <v>428</v>
      </c>
      <c r="AQ24" s="18" t="s">
        <v>428</v>
      </c>
      <c r="AR24" s="18" t="s">
        <v>428</v>
      </c>
      <c r="AS24" s="18" t="s">
        <v>428</v>
      </c>
      <c r="AT24" s="18" t="s">
        <v>438</v>
      </c>
      <c r="AU24" s="59" t="s">
        <v>414</v>
      </c>
      <c r="AV24" s="18" t="s">
        <v>428</v>
      </c>
      <c r="AW24" s="18" t="s">
        <v>414</v>
      </c>
      <c r="AX24" s="18" t="s">
        <v>414</v>
      </c>
      <c r="AY24" s="18" t="s">
        <v>414</v>
      </c>
      <c r="AZ24" s="18" t="s">
        <v>414</v>
      </c>
      <c r="BA24" s="18" t="s">
        <v>414</v>
      </c>
      <c r="BB24" s="18" t="s">
        <v>428</v>
      </c>
      <c r="BC24" s="18" t="s">
        <v>428</v>
      </c>
      <c r="BD24" s="272" t="s">
        <v>428</v>
      </c>
      <c r="BE24" s="18" t="s">
        <v>414</v>
      </c>
      <c r="BF24" s="18" t="s">
        <v>428</v>
      </c>
      <c r="BG24" s="18" t="s">
        <v>414</v>
      </c>
      <c r="BH24" s="18" t="s">
        <v>428</v>
      </c>
      <c r="BI24" s="18" t="s">
        <v>428</v>
      </c>
      <c r="BJ24" s="18" t="s">
        <v>428</v>
      </c>
      <c r="BK24" s="18" t="s">
        <v>428</v>
      </c>
      <c r="BL24" s="18" t="s">
        <v>428</v>
      </c>
      <c r="BM24" s="18" t="s">
        <v>428</v>
      </c>
      <c r="BN24" s="18" t="s">
        <v>428</v>
      </c>
      <c r="BO24" s="18" t="s">
        <v>428</v>
      </c>
      <c r="BP24" s="18" t="s">
        <v>414</v>
      </c>
      <c r="BQ24" s="18" t="s">
        <v>413</v>
      </c>
      <c r="BR24" s="272" t="s">
        <v>439</v>
      </c>
      <c r="BS24" s="7"/>
      <c r="BT24" s="4"/>
    </row>
    <row r="25" spans="1:72" ht="29.1">
      <c r="A25" s="4"/>
      <c r="B25" s="4"/>
      <c r="C25" s="7"/>
      <c r="D25" s="18" t="s">
        <v>338</v>
      </c>
      <c r="E25" s="18" t="s">
        <v>339</v>
      </c>
      <c r="F25" s="18" t="s">
        <v>435</v>
      </c>
      <c r="G25" s="276">
        <v>0.99</v>
      </c>
      <c r="H25" s="18" t="s">
        <v>413</v>
      </c>
      <c r="I25" s="18" t="s">
        <v>413</v>
      </c>
      <c r="J25" s="18" t="s">
        <v>413</v>
      </c>
      <c r="K25" s="18" t="s">
        <v>428</v>
      </c>
      <c r="L25" s="18" t="s">
        <v>428</v>
      </c>
      <c r="M25" s="18" t="s">
        <v>414</v>
      </c>
      <c r="N25" s="18" t="s">
        <v>428</v>
      </c>
      <c r="O25" s="18" t="s">
        <v>428</v>
      </c>
      <c r="P25" s="18" t="s">
        <v>428</v>
      </c>
      <c r="Q25" s="266" t="s">
        <v>429</v>
      </c>
      <c r="R25" s="175" t="s">
        <v>428</v>
      </c>
      <c r="S25" s="171" t="s">
        <v>430</v>
      </c>
      <c r="T25" s="250" t="s">
        <v>428</v>
      </c>
      <c r="U25" s="175" t="s">
        <v>428</v>
      </c>
      <c r="V25" s="175" t="s">
        <v>436</v>
      </c>
      <c r="W25" s="272" t="s">
        <v>428</v>
      </c>
      <c r="X25" s="59" t="s">
        <v>413</v>
      </c>
      <c r="Y25" s="18" t="s">
        <v>437</v>
      </c>
      <c r="Z25" s="272" t="s">
        <v>428</v>
      </c>
      <c r="AA25" s="59" t="s">
        <v>414</v>
      </c>
      <c r="AB25" s="18" t="s">
        <v>414</v>
      </c>
      <c r="AC25" s="18" t="s">
        <v>414</v>
      </c>
      <c r="AD25" s="18" t="s">
        <v>414</v>
      </c>
      <c r="AE25" s="272" t="s">
        <v>428</v>
      </c>
      <c r="AF25" s="59" t="s">
        <v>428</v>
      </c>
      <c r="AG25" s="18" t="s">
        <v>428</v>
      </c>
      <c r="AH25" s="18" t="s">
        <v>428</v>
      </c>
      <c r="AI25" s="18" t="s">
        <v>428</v>
      </c>
      <c r="AJ25" s="18" t="s">
        <v>428</v>
      </c>
      <c r="AK25" s="18" t="s">
        <v>428</v>
      </c>
      <c r="AL25" s="18" t="s">
        <v>428</v>
      </c>
      <c r="AM25" s="18" t="s">
        <v>428</v>
      </c>
      <c r="AN25" s="18" t="s">
        <v>428</v>
      </c>
      <c r="AO25" s="18" t="s">
        <v>428</v>
      </c>
      <c r="AP25" s="18" t="s">
        <v>428</v>
      </c>
      <c r="AQ25" s="18" t="s">
        <v>428</v>
      </c>
      <c r="AR25" s="18" t="s">
        <v>428</v>
      </c>
      <c r="AS25" s="18" t="s">
        <v>428</v>
      </c>
      <c r="AT25" s="18" t="s">
        <v>440</v>
      </c>
      <c r="AU25" s="59" t="s">
        <v>414</v>
      </c>
      <c r="AV25" s="18" t="s">
        <v>428</v>
      </c>
      <c r="AW25" s="18" t="s">
        <v>414</v>
      </c>
      <c r="AX25" s="18" t="s">
        <v>414</v>
      </c>
      <c r="AY25" s="18" t="s">
        <v>414</v>
      </c>
      <c r="AZ25" s="18" t="s">
        <v>414</v>
      </c>
      <c r="BA25" s="18" t="s">
        <v>414</v>
      </c>
      <c r="BB25" s="18" t="s">
        <v>428</v>
      </c>
      <c r="BC25" s="18" t="s">
        <v>428</v>
      </c>
      <c r="BD25" s="272" t="s">
        <v>428</v>
      </c>
      <c r="BE25" s="18" t="s">
        <v>414</v>
      </c>
      <c r="BF25" s="18" t="s">
        <v>428</v>
      </c>
      <c r="BG25" s="18" t="s">
        <v>414</v>
      </c>
      <c r="BH25" s="18" t="s">
        <v>428</v>
      </c>
      <c r="BI25" s="18" t="s">
        <v>428</v>
      </c>
      <c r="BJ25" s="18" t="s">
        <v>428</v>
      </c>
      <c r="BK25" s="18" t="s">
        <v>428</v>
      </c>
      <c r="BL25" s="18" t="s">
        <v>428</v>
      </c>
      <c r="BM25" s="18" t="s">
        <v>428</v>
      </c>
      <c r="BN25" s="18" t="s">
        <v>428</v>
      </c>
      <c r="BO25" s="18" t="s">
        <v>428</v>
      </c>
      <c r="BP25" s="18" t="s">
        <v>414</v>
      </c>
      <c r="BQ25" s="18" t="s">
        <v>413</v>
      </c>
      <c r="BR25" s="272" t="s">
        <v>439</v>
      </c>
      <c r="BS25" s="7"/>
      <c r="BT25" s="4"/>
    </row>
    <row r="26" spans="1:72" ht="29.1">
      <c r="A26" s="4"/>
      <c r="B26" s="4"/>
      <c r="C26" s="7"/>
      <c r="D26" s="18" t="s">
        <v>342</v>
      </c>
      <c r="E26" s="18" t="s">
        <v>343</v>
      </c>
      <c r="F26" s="18" t="s">
        <v>441</v>
      </c>
      <c r="G26" s="277">
        <v>0</v>
      </c>
      <c r="H26" s="278" t="s">
        <v>442</v>
      </c>
      <c r="I26" s="278" t="s">
        <v>442</v>
      </c>
      <c r="J26" s="278" t="s">
        <v>442</v>
      </c>
      <c r="K26" s="279" t="s">
        <v>428</v>
      </c>
      <c r="L26" s="18" t="s">
        <v>428</v>
      </c>
      <c r="M26" s="279" t="s">
        <v>414</v>
      </c>
      <c r="N26" s="279" t="s">
        <v>428</v>
      </c>
      <c r="O26" s="279" t="s">
        <v>428</v>
      </c>
      <c r="P26" s="279" t="s">
        <v>428</v>
      </c>
      <c r="Q26" s="278" t="s">
        <v>443</v>
      </c>
      <c r="R26" s="279" t="s">
        <v>428</v>
      </c>
      <c r="S26" s="280" t="s">
        <v>430</v>
      </c>
      <c r="T26" s="284" t="s">
        <v>428</v>
      </c>
      <c r="U26" s="279" t="s">
        <v>428</v>
      </c>
      <c r="V26" s="279" t="s">
        <v>436</v>
      </c>
      <c r="W26" s="285" t="s">
        <v>428</v>
      </c>
      <c r="X26" s="284" t="s">
        <v>428</v>
      </c>
      <c r="Y26" s="279" t="s">
        <v>437</v>
      </c>
      <c r="Z26" s="285" t="s">
        <v>428</v>
      </c>
      <c r="AA26" s="284" t="s">
        <v>414</v>
      </c>
      <c r="AB26" s="279" t="s">
        <v>414</v>
      </c>
      <c r="AC26" s="279" t="s">
        <v>414</v>
      </c>
      <c r="AD26" s="279" t="s">
        <v>414</v>
      </c>
      <c r="AE26" s="285" t="s">
        <v>428</v>
      </c>
      <c r="AF26" s="284" t="s">
        <v>428</v>
      </c>
      <c r="AG26" s="279" t="s">
        <v>428</v>
      </c>
      <c r="AH26" s="279" t="s">
        <v>428</v>
      </c>
      <c r="AI26" s="279" t="s">
        <v>428</v>
      </c>
      <c r="AJ26" s="279" t="s">
        <v>428</v>
      </c>
      <c r="AK26" s="18" t="s">
        <v>428</v>
      </c>
      <c r="AL26" s="18" t="s">
        <v>428</v>
      </c>
      <c r="AM26" s="279" t="s">
        <v>428</v>
      </c>
      <c r="AN26" s="279" t="s">
        <v>428</v>
      </c>
      <c r="AO26" s="279" t="s">
        <v>428</v>
      </c>
      <c r="AP26" s="279" t="s">
        <v>428</v>
      </c>
      <c r="AQ26" s="279" t="s">
        <v>428</v>
      </c>
      <c r="AR26" s="279" t="s">
        <v>428</v>
      </c>
      <c r="AS26" s="279" t="s">
        <v>428</v>
      </c>
      <c r="AT26" s="279" t="s">
        <v>441</v>
      </c>
      <c r="AU26" s="284" t="s">
        <v>414</v>
      </c>
      <c r="AV26" s="279" t="s">
        <v>428</v>
      </c>
      <c r="AW26" s="279" t="s">
        <v>414</v>
      </c>
      <c r="AX26" s="279" t="s">
        <v>428</v>
      </c>
      <c r="AY26" s="279" t="s">
        <v>428</v>
      </c>
      <c r="AZ26" s="279" t="s">
        <v>428</v>
      </c>
      <c r="BA26" s="279" t="s">
        <v>428</v>
      </c>
      <c r="BB26" s="279" t="s">
        <v>428</v>
      </c>
      <c r="BC26" s="279" t="s">
        <v>428</v>
      </c>
      <c r="BD26" s="285" t="s">
        <v>428</v>
      </c>
      <c r="BE26" s="279" t="s">
        <v>428</v>
      </c>
      <c r="BF26" s="279" t="s">
        <v>428</v>
      </c>
      <c r="BG26" s="279" t="s">
        <v>428</v>
      </c>
      <c r="BH26" s="279" t="s">
        <v>428</v>
      </c>
      <c r="BI26" s="279" t="s">
        <v>428</v>
      </c>
      <c r="BJ26" s="279" t="s">
        <v>428</v>
      </c>
      <c r="BK26" s="279" t="s">
        <v>428</v>
      </c>
      <c r="BL26" s="279" t="s">
        <v>428</v>
      </c>
      <c r="BM26" s="279" t="s">
        <v>428</v>
      </c>
      <c r="BN26" s="279" t="s">
        <v>428</v>
      </c>
      <c r="BO26" s="279" t="s">
        <v>428</v>
      </c>
      <c r="BP26" s="279" t="s">
        <v>428</v>
      </c>
      <c r="BQ26" s="279" t="s">
        <v>428</v>
      </c>
      <c r="BR26" s="285" t="s">
        <v>428</v>
      </c>
      <c r="BS26" s="7"/>
      <c r="BT26" s="4"/>
    </row>
    <row r="27" spans="1:72">
      <c r="A27" s="4"/>
      <c r="B27" s="4"/>
      <c r="C27" s="7"/>
      <c r="D27" s="54"/>
      <c r="E27" s="54"/>
      <c r="F27" s="54"/>
      <c r="G27" s="54"/>
      <c r="H27" s="54"/>
      <c r="I27" s="54"/>
      <c r="J27" s="54"/>
      <c r="K27" s="54"/>
      <c r="L27" s="54"/>
      <c r="M27" s="54"/>
      <c r="N27" s="54"/>
      <c r="O27" s="54"/>
      <c r="P27" s="54"/>
      <c r="Q27" s="54"/>
      <c r="R27" s="54"/>
      <c r="S27" s="54"/>
      <c r="T27" s="99"/>
      <c r="U27" s="99"/>
      <c r="V27" s="99"/>
      <c r="W27" s="99"/>
      <c r="X27" s="99"/>
      <c r="Y27" s="99"/>
      <c r="Z27" s="99"/>
      <c r="AA27" s="99"/>
      <c r="AB27" s="99"/>
      <c r="AC27" s="99"/>
      <c r="AD27" s="99"/>
      <c r="AE27" s="99"/>
      <c r="AF27" s="99"/>
      <c r="AG27" s="99"/>
      <c r="AH27" s="99"/>
      <c r="AI27" s="99"/>
      <c r="AJ27" s="99"/>
      <c r="AK27" s="99"/>
      <c r="AL27" s="99"/>
      <c r="AM27" s="99"/>
      <c r="AN27" s="99"/>
      <c r="AO27" s="99"/>
      <c r="AP27" s="99"/>
      <c r="AQ27" s="99"/>
      <c r="AR27" s="99"/>
      <c r="AS27" s="99"/>
      <c r="AT27" s="99"/>
      <c r="AU27" s="99"/>
      <c r="AV27" s="99"/>
      <c r="AW27" s="99"/>
      <c r="AX27" s="99"/>
      <c r="AY27" s="99"/>
      <c r="AZ27" s="99"/>
      <c r="BA27" s="99"/>
      <c r="BB27" s="99"/>
      <c r="BC27" s="99"/>
      <c r="BD27" s="99"/>
      <c r="BE27" s="99"/>
      <c r="BF27" s="99"/>
      <c r="BG27" s="99"/>
      <c r="BH27" s="99"/>
      <c r="BI27" s="99"/>
      <c r="BJ27" s="99"/>
      <c r="BK27" s="99"/>
      <c r="BL27" s="99"/>
      <c r="BM27" s="99"/>
      <c r="BN27" s="99"/>
      <c r="BO27" s="99"/>
      <c r="BP27" s="99"/>
      <c r="BQ27" s="99"/>
      <c r="BR27" s="99"/>
      <c r="BS27" s="7"/>
      <c r="BT27" s="4"/>
    </row>
    <row r="28" spans="1:72" ht="14.45" customHeight="1">
      <c r="A28" s="4"/>
      <c r="B28" s="4"/>
      <c r="C28" s="7"/>
      <c r="D28" s="170" t="s">
        <v>414</v>
      </c>
      <c r="E28" s="630" t="s">
        <v>444</v>
      </c>
      <c r="F28" s="630"/>
      <c r="G28" s="630"/>
      <c r="H28" s="630"/>
      <c r="I28" s="630"/>
      <c r="J28" s="630"/>
      <c r="K28" s="630"/>
      <c r="L28" s="630"/>
      <c r="M28" s="630"/>
      <c r="N28" s="630"/>
      <c r="O28" s="630"/>
      <c r="P28" s="630"/>
      <c r="Q28" s="54"/>
      <c r="R28" s="54"/>
      <c r="S28" s="54"/>
      <c r="T28" s="54"/>
      <c r="U28" s="54"/>
      <c r="V28" s="54"/>
      <c r="W28" s="54"/>
      <c r="X28" s="54"/>
      <c r="Y28" s="54"/>
      <c r="Z28" s="54"/>
      <c r="AA28" s="54"/>
      <c r="AB28" s="54"/>
      <c r="AC28" s="54"/>
      <c r="AD28" s="54"/>
      <c r="AE28" s="54"/>
      <c r="AF28" s="54"/>
      <c r="AG28" s="54"/>
      <c r="AH28" s="54"/>
      <c r="AI28" s="54"/>
      <c r="AJ28" s="54"/>
      <c r="AK28" s="54"/>
      <c r="AL28" s="54"/>
      <c r="AM28" s="54"/>
      <c r="AN28" s="54"/>
      <c r="AO28" s="54"/>
      <c r="AP28" s="54"/>
      <c r="AQ28" s="54"/>
      <c r="AR28" s="54"/>
      <c r="AS28" s="54"/>
      <c r="AT28" s="54"/>
      <c r="AU28" s="54"/>
      <c r="AV28" s="54"/>
      <c r="AW28" s="54"/>
      <c r="AX28" s="54"/>
      <c r="AY28" s="54"/>
      <c r="AZ28" s="54"/>
      <c r="BA28" s="54"/>
      <c r="BB28" s="54"/>
      <c r="BC28" s="54"/>
      <c r="BD28" s="54"/>
      <c r="BE28" s="54"/>
      <c r="BF28" s="54"/>
      <c r="BG28" s="54"/>
      <c r="BH28" s="54"/>
      <c r="BI28" s="54"/>
      <c r="BJ28" s="99"/>
      <c r="BK28" s="99"/>
      <c r="BL28" s="99"/>
      <c r="BM28" s="99"/>
      <c r="BN28" s="99"/>
      <c r="BO28" s="99"/>
      <c r="BP28" s="99"/>
      <c r="BQ28" s="99"/>
      <c r="BR28" s="99"/>
      <c r="BS28" s="7"/>
      <c r="BT28" s="4"/>
    </row>
    <row r="29" spans="1:72" ht="14.45" customHeight="1">
      <c r="A29" s="4"/>
      <c r="B29" s="4"/>
      <c r="C29" s="7"/>
      <c r="D29" s="170" t="s">
        <v>428</v>
      </c>
      <c r="E29" s="631" t="s">
        <v>445</v>
      </c>
      <c r="F29" s="631"/>
      <c r="G29" s="631"/>
      <c r="H29" s="631"/>
      <c r="I29" s="631"/>
      <c r="J29" s="631"/>
      <c r="K29" s="631"/>
      <c r="L29" s="631"/>
      <c r="M29" s="631"/>
      <c r="N29" s="631"/>
      <c r="O29" s="631"/>
      <c r="P29" s="631"/>
      <c r="Q29" s="54"/>
      <c r="R29" s="54"/>
      <c r="S29" s="54"/>
      <c r="T29" s="54"/>
      <c r="U29" s="54"/>
      <c r="V29" s="54"/>
      <c r="W29" s="54"/>
      <c r="X29" s="54"/>
      <c r="Y29" s="54"/>
      <c r="Z29" s="54"/>
      <c r="AA29" s="54"/>
      <c r="AB29" s="54"/>
      <c r="AC29" s="54"/>
      <c r="AD29" s="54"/>
      <c r="AE29" s="54"/>
      <c r="AF29" s="54"/>
      <c r="AG29" s="54"/>
      <c r="AH29" s="54"/>
      <c r="AI29" s="54"/>
      <c r="AJ29" s="54"/>
      <c r="AK29" s="54"/>
      <c r="AL29" s="54"/>
      <c r="AM29" s="54"/>
      <c r="AN29" s="54"/>
      <c r="AO29" s="54"/>
      <c r="AP29" s="54"/>
      <c r="AQ29" s="54"/>
      <c r="AR29" s="54"/>
      <c r="AS29" s="54"/>
      <c r="AT29" s="54"/>
      <c r="AU29" s="54"/>
      <c r="AV29" s="54"/>
      <c r="AW29" s="54"/>
      <c r="AX29" s="54"/>
      <c r="AY29" s="54"/>
      <c r="AZ29" s="54"/>
      <c r="BA29" s="54"/>
      <c r="BB29" s="54"/>
      <c r="BC29" s="54"/>
      <c r="BD29" s="54"/>
      <c r="BE29" s="54"/>
      <c r="BF29" s="54"/>
      <c r="BG29" s="54"/>
      <c r="BH29" s="54"/>
      <c r="BI29" s="54"/>
      <c r="BJ29" s="99"/>
      <c r="BK29" s="99"/>
      <c r="BL29" s="99"/>
      <c r="BM29" s="99"/>
      <c r="BN29" s="99"/>
      <c r="BO29" s="99"/>
      <c r="BP29" s="99"/>
      <c r="BQ29" s="99"/>
      <c r="BR29" s="99"/>
      <c r="BS29" s="7"/>
      <c r="BT29" s="4"/>
    </row>
    <row r="30" spans="1:72" ht="14.45" customHeight="1">
      <c r="A30" s="4"/>
      <c r="B30" s="4"/>
      <c r="C30" s="7"/>
      <c r="D30" s="170" t="s">
        <v>413</v>
      </c>
      <c r="E30" s="631" t="s">
        <v>446</v>
      </c>
      <c r="F30" s="631"/>
      <c r="G30" s="631"/>
      <c r="H30" s="631"/>
      <c r="I30" s="631"/>
      <c r="J30" s="631"/>
      <c r="K30" s="631"/>
      <c r="L30" s="631"/>
      <c r="M30" s="631"/>
      <c r="N30" s="631"/>
      <c r="O30" s="631"/>
      <c r="P30" s="631"/>
      <c r="Q30" s="54"/>
      <c r="R30" s="54"/>
      <c r="S30" s="54"/>
      <c r="T30" s="54"/>
      <c r="U30" s="54"/>
      <c r="V30" s="54"/>
      <c r="W30" s="54"/>
      <c r="X30" s="54"/>
      <c r="Y30" s="54"/>
      <c r="Z30" s="54"/>
      <c r="AA30" s="54"/>
      <c r="AB30" s="54"/>
      <c r="AC30" s="54"/>
      <c r="AD30" s="54"/>
      <c r="AE30" s="54"/>
      <c r="AF30" s="54"/>
      <c r="AG30" s="54"/>
      <c r="AH30" s="54"/>
      <c r="AI30" s="54"/>
      <c r="AJ30" s="54"/>
      <c r="AK30" s="54"/>
      <c r="AL30" s="54"/>
      <c r="AM30" s="54"/>
      <c r="AN30" s="54"/>
      <c r="AO30" s="54"/>
      <c r="AP30" s="54"/>
      <c r="AQ30" s="54"/>
      <c r="AR30" s="54"/>
      <c r="AS30" s="54"/>
      <c r="AT30" s="54"/>
      <c r="AU30" s="54"/>
      <c r="AV30" s="54"/>
      <c r="AW30" s="54"/>
      <c r="AX30" s="54"/>
      <c r="AY30" s="54"/>
      <c r="AZ30" s="54"/>
      <c r="BA30" s="54"/>
      <c r="BB30" s="54"/>
      <c r="BC30" s="54"/>
      <c r="BD30" s="54"/>
      <c r="BE30" s="54"/>
      <c r="BF30" s="54"/>
      <c r="BG30" s="54"/>
      <c r="BH30" s="54"/>
      <c r="BI30" s="54"/>
      <c r="BJ30" s="99"/>
      <c r="BK30" s="99"/>
      <c r="BL30" s="99"/>
      <c r="BM30" s="99"/>
      <c r="BN30" s="99"/>
      <c r="BO30" s="99"/>
      <c r="BP30" s="99"/>
      <c r="BQ30" s="99"/>
      <c r="BR30" s="99"/>
      <c r="BS30" s="7"/>
      <c r="BT30" s="4"/>
    </row>
    <row r="31" spans="1:72">
      <c r="A31" s="4"/>
      <c r="B31" s="4"/>
      <c r="C31" s="7"/>
      <c r="D31" s="54"/>
      <c r="E31" s="54"/>
      <c r="F31" s="54"/>
      <c r="G31" s="54"/>
      <c r="H31" s="54"/>
      <c r="I31" s="54"/>
      <c r="J31" s="54"/>
      <c r="K31" s="54"/>
      <c r="L31" s="54"/>
      <c r="M31" s="54"/>
      <c r="N31" s="54"/>
      <c r="O31" s="54"/>
      <c r="P31" s="54"/>
      <c r="Q31" s="54"/>
      <c r="R31" s="54"/>
      <c r="S31" s="54"/>
      <c r="T31" s="99"/>
      <c r="U31" s="99"/>
      <c r="V31" s="99"/>
      <c r="W31" s="99"/>
      <c r="X31" s="99"/>
      <c r="Y31" s="99"/>
      <c r="Z31" s="99"/>
      <c r="AA31" s="99"/>
      <c r="AB31" s="99"/>
      <c r="AC31" s="99"/>
      <c r="AD31" s="99"/>
      <c r="AE31" s="99"/>
      <c r="AF31" s="99"/>
      <c r="AG31" s="99"/>
      <c r="AH31" s="99"/>
      <c r="AI31" s="99"/>
      <c r="AJ31" s="99"/>
      <c r="AK31" s="99"/>
      <c r="AL31" s="99"/>
      <c r="AM31" s="99"/>
      <c r="AN31" s="99"/>
      <c r="AO31" s="99"/>
      <c r="AP31" s="99"/>
      <c r="AQ31" s="99"/>
      <c r="AR31" s="99"/>
      <c r="AS31" s="99"/>
      <c r="AT31" s="99"/>
      <c r="AU31" s="99"/>
      <c r="AV31" s="99"/>
      <c r="AW31" s="99"/>
      <c r="AX31" s="99"/>
      <c r="AY31" s="99"/>
      <c r="AZ31" s="99"/>
      <c r="BA31" s="99"/>
      <c r="BB31" s="99"/>
      <c r="BC31" s="99"/>
      <c r="BD31" s="99"/>
      <c r="BE31" s="99"/>
      <c r="BF31" s="99"/>
      <c r="BG31" s="99"/>
      <c r="BH31" s="99"/>
      <c r="BI31" s="99"/>
      <c r="BJ31" s="99"/>
      <c r="BK31" s="99"/>
      <c r="BL31" s="99"/>
      <c r="BM31" s="99"/>
      <c r="BN31" s="99"/>
      <c r="BO31" s="99"/>
      <c r="BP31" s="99"/>
      <c r="BQ31" s="99"/>
      <c r="BR31" s="99"/>
      <c r="BS31" s="7"/>
      <c r="BT31" s="4"/>
    </row>
    <row r="32" spans="1:72">
      <c r="A32" s="4"/>
      <c r="B32" s="4"/>
      <c r="C32" s="4"/>
      <c r="D32" s="4"/>
      <c r="E32" s="4"/>
      <c r="F32" s="4"/>
      <c r="G32" s="4"/>
      <c r="H32" s="4"/>
      <c r="I32" s="4"/>
      <c r="J32" s="4"/>
      <c r="K32" s="4"/>
      <c r="L32" s="4"/>
      <c r="M32" s="4"/>
      <c r="N32" s="4"/>
      <c r="O32" s="4"/>
      <c r="P32" s="4"/>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4"/>
      <c r="BE32" s="4"/>
      <c r="BF32" s="4"/>
      <c r="BG32" s="4"/>
      <c r="BH32" s="4"/>
      <c r="BI32" s="4"/>
      <c r="BJ32" s="4"/>
      <c r="BK32" s="4"/>
      <c r="BL32" s="4"/>
      <c r="BM32" s="4"/>
      <c r="BN32" s="4"/>
      <c r="BO32" s="4"/>
      <c r="BP32" s="4"/>
      <c r="BQ32" s="4"/>
      <c r="BR32" s="4"/>
      <c r="BS32" s="4"/>
      <c r="BT32" s="4"/>
    </row>
    <row r="33" spans="1:72" ht="18.600000000000001">
      <c r="A33" s="101"/>
      <c r="B33" s="101"/>
      <c r="C33" s="102" t="s">
        <v>78</v>
      </c>
      <c r="D33" s="102"/>
      <c r="E33" s="101"/>
      <c r="F33" s="101"/>
      <c r="G33" s="101"/>
      <c r="H33" s="101"/>
      <c r="I33" s="101"/>
      <c r="J33" s="101"/>
      <c r="K33" s="101"/>
      <c r="L33" s="101"/>
      <c r="M33" s="101"/>
      <c r="N33" s="101"/>
      <c r="O33" s="101"/>
      <c r="P33" s="101"/>
      <c r="Q33" s="101"/>
      <c r="R33" s="101"/>
      <c r="S33" s="101"/>
      <c r="T33" s="101"/>
      <c r="U33" s="101"/>
      <c r="V33" s="101"/>
      <c r="W33" s="101"/>
      <c r="X33" s="101"/>
      <c r="Y33" s="101"/>
      <c r="Z33" s="101"/>
      <c r="AA33" s="101"/>
      <c r="AB33" s="101"/>
      <c r="AC33" s="101"/>
      <c r="AD33" s="101"/>
      <c r="AE33" s="101"/>
      <c r="AF33" s="101"/>
      <c r="AG33" s="101"/>
      <c r="AH33" s="101"/>
      <c r="AI33" s="101"/>
      <c r="AJ33" s="101"/>
      <c r="AK33" s="101"/>
      <c r="AL33" s="101"/>
      <c r="AM33" s="101"/>
      <c r="AN33" s="101"/>
      <c r="AO33" s="101"/>
      <c r="AP33" s="101"/>
      <c r="AQ33" s="101"/>
      <c r="AR33" s="101"/>
      <c r="AS33" s="101"/>
      <c r="AT33" s="101"/>
      <c r="AU33" s="101"/>
      <c r="AV33" s="101"/>
      <c r="AW33" s="101"/>
      <c r="AX33" s="101"/>
      <c r="AY33" s="101"/>
      <c r="AZ33" s="101"/>
      <c r="BA33" s="101"/>
      <c r="BB33" s="101"/>
      <c r="BC33" s="101"/>
      <c r="BD33" s="101"/>
      <c r="BE33" s="101"/>
      <c r="BF33" s="101"/>
      <c r="BG33" s="101"/>
      <c r="BH33" s="101"/>
      <c r="BI33" s="101"/>
      <c r="BJ33" s="101"/>
      <c r="BK33" s="101"/>
      <c r="BL33" s="101"/>
      <c r="BM33" s="101"/>
      <c r="BN33" s="101"/>
      <c r="BO33" s="101"/>
      <c r="BP33" s="101"/>
      <c r="BQ33" s="101"/>
      <c r="BR33" s="101"/>
      <c r="BS33" s="101"/>
      <c r="BT33" s="101"/>
    </row>
    <row r="34" spans="1:72" outlineLevel="1">
      <c r="A34" s="4"/>
      <c r="B34" s="4"/>
      <c r="C34" s="4"/>
      <c r="D34" s="4"/>
      <c r="E34" s="4"/>
      <c r="F34" s="4"/>
      <c r="G34" s="4"/>
      <c r="H34" s="4"/>
      <c r="I34" s="4"/>
      <c r="J34" s="4"/>
      <c r="K34" s="4"/>
      <c r="L34" s="4"/>
      <c r="M34" s="4"/>
      <c r="N34" s="4"/>
      <c r="O34" s="4"/>
      <c r="P34" s="4"/>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4"/>
      <c r="BE34" s="4"/>
      <c r="BF34" s="4"/>
      <c r="BG34" s="4"/>
      <c r="BH34" s="4"/>
      <c r="BI34" s="4"/>
      <c r="BJ34" s="4"/>
      <c r="BK34" s="4"/>
      <c r="BL34" s="4"/>
      <c r="BM34" s="4"/>
      <c r="BN34" s="4"/>
      <c r="BO34" s="4"/>
      <c r="BP34" s="4"/>
      <c r="BQ34" s="4"/>
      <c r="BR34" s="4"/>
      <c r="BS34" s="4"/>
      <c r="BT34" s="4"/>
    </row>
    <row r="35" spans="1:72" ht="16.5" outlineLevel="1">
      <c r="A35" s="4"/>
      <c r="B35" s="4"/>
      <c r="C35" s="169">
        <v>1</v>
      </c>
      <c r="D35" s="1" t="s">
        <v>345</v>
      </c>
      <c r="E35" s="167"/>
      <c r="F35" s="167"/>
      <c r="G35" s="167"/>
      <c r="H35" s="167"/>
      <c r="I35" s="167"/>
      <c r="J35" s="167"/>
      <c r="K35" s="167"/>
      <c r="L35" s="167"/>
      <c r="M35" s="167"/>
      <c r="N35" s="167"/>
      <c r="O35" s="167"/>
      <c r="P35" s="167"/>
      <c r="Q35" s="167"/>
      <c r="R35" s="167"/>
      <c r="S35" s="167"/>
      <c r="T35" s="93"/>
      <c r="U35" s="93"/>
      <c r="V35" s="93"/>
      <c r="W35" s="93"/>
      <c r="X35" s="7"/>
      <c r="Y35" s="7"/>
      <c r="Z35" s="7"/>
      <c r="AA35" s="7"/>
      <c r="AB35" s="7"/>
      <c r="AC35" s="7"/>
      <c r="AD35" s="7"/>
      <c r="AE35" s="7"/>
      <c r="AF35" s="7"/>
      <c r="AG35" s="7"/>
      <c r="AH35" s="7"/>
      <c r="AI35" s="7"/>
      <c r="AJ35" s="7"/>
      <c r="AK35" s="7"/>
      <c r="AL35" s="7"/>
      <c r="AM35" s="7"/>
      <c r="AN35" s="7"/>
      <c r="AO35" s="7"/>
      <c r="AP35" s="7"/>
      <c r="AQ35" s="7"/>
      <c r="AR35" s="7"/>
      <c r="AS35" s="7"/>
      <c r="AT35" s="7"/>
      <c r="AU35" s="7"/>
      <c r="AV35" s="7"/>
      <c r="AW35" s="7"/>
      <c r="AX35" s="7"/>
      <c r="AY35" s="7"/>
      <c r="AZ35" s="7"/>
      <c r="BA35" s="7"/>
      <c r="BB35" s="7"/>
      <c r="BC35" s="7"/>
      <c r="BD35" s="7"/>
      <c r="BE35" s="7"/>
      <c r="BF35" s="7"/>
      <c r="BG35" s="7"/>
      <c r="BH35" s="7"/>
      <c r="BI35" s="7"/>
      <c r="BJ35" s="7"/>
      <c r="BK35" s="7"/>
      <c r="BL35" s="7"/>
      <c r="BM35" s="7"/>
      <c r="BN35" s="7"/>
      <c r="BO35" s="7"/>
      <c r="BP35" s="7"/>
      <c r="BQ35" s="7"/>
      <c r="BR35" s="7"/>
      <c r="BS35" s="7"/>
      <c r="BT35" s="4"/>
    </row>
    <row r="36" spans="1:72" ht="16.5" outlineLevel="1">
      <c r="A36" s="4"/>
      <c r="B36" s="4"/>
      <c r="C36" s="169">
        <v>2</v>
      </c>
      <c r="D36" s="1" t="s">
        <v>447</v>
      </c>
      <c r="E36" s="167"/>
      <c r="F36" s="167"/>
      <c r="G36" s="167"/>
      <c r="H36" s="167"/>
      <c r="I36" s="167"/>
      <c r="J36" s="167"/>
      <c r="K36" s="167"/>
      <c r="L36" s="167"/>
      <c r="M36" s="167"/>
      <c r="N36" s="167"/>
      <c r="O36" s="167"/>
      <c r="P36" s="167"/>
      <c r="Q36" s="167"/>
      <c r="R36" s="167"/>
      <c r="S36" s="167"/>
      <c r="T36" s="93"/>
      <c r="U36" s="93"/>
      <c r="V36" s="93"/>
      <c r="W36" s="93"/>
      <c r="X36" s="7"/>
      <c r="Y36" s="7"/>
      <c r="Z36" s="7"/>
      <c r="AA36" s="7"/>
      <c r="AB36" s="7"/>
      <c r="AC36" s="7"/>
      <c r="AD36" s="7"/>
      <c r="AE36" s="7"/>
      <c r="AF36" s="7"/>
      <c r="AG36" s="7"/>
      <c r="AH36" s="7"/>
      <c r="AI36" s="7"/>
      <c r="AJ36" s="7"/>
      <c r="AK36" s="7"/>
      <c r="AL36" s="7"/>
      <c r="AM36" s="7"/>
      <c r="AN36" s="7"/>
      <c r="AO36" s="7"/>
      <c r="AP36" s="7"/>
      <c r="AQ36" s="7"/>
      <c r="AR36" s="7"/>
      <c r="AS36" s="7"/>
      <c r="AT36" s="7"/>
      <c r="AU36" s="7"/>
      <c r="AV36" s="7"/>
      <c r="AW36" s="7"/>
      <c r="AX36" s="7"/>
      <c r="AY36" s="7"/>
      <c r="AZ36" s="7"/>
      <c r="BA36" s="7"/>
      <c r="BB36" s="7"/>
      <c r="BC36" s="7"/>
      <c r="BD36" s="7"/>
      <c r="BE36" s="7"/>
      <c r="BF36" s="7"/>
      <c r="BG36" s="7"/>
      <c r="BH36" s="7"/>
      <c r="BI36" s="7"/>
      <c r="BJ36" s="7"/>
      <c r="BK36" s="7"/>
      <c r="BL36" s="7"/>
      <c r="BM36" s="7"/>
      <c r="BN36" s="7"/>
      <c r="BO36" s="7"/>
      <c r="BP36" s="7"/>
      <c r="BQ36" s="7"/>
      <c r="BR36" s="7"/>
      <c r="BS36" s="7"/>
      <c r="BT36" s="4"/>
    </row>
    <row r="37" spans="1:72" ht="16.5" outlineLevel="1">
      <c r="A37" s="4"/>
      <c r="B37" s="4"/>
      <c r="C37" s="169">
        <v>3</v>
      </c>
      <c r="D37" s="70" t="s">
        <v>448</v>
      </c>
      <c r="E37" s="7"/>
      <c r="F37" s="7"/>
      <c r="G37" s="7"/>
      <c r="H37" s="7"/>
      <c r="I37" s="7"/>
      <c r="J37" s="7"/>
      <c r="K37" s="7"/>
      <c r="L37" s="7"/>
      <c r="M37" s="7"/>
      <c r="N37" s="7"/>
      <c r="O37" s="7"/>
      <c r="P37" s="7"/>
      <c r="Q37" s="7"/>
      <c r="R37" s="7"/>
      <c r="S37" s="7"/>
      <c r="T37" s="7"/>
      <c r="U37" s="7"/>
      <c r="V37" s="7"/>
      <c r="W37" s="7"/>
      <c r="X37" s="7"/>
      <c r="Y37" s="7"/>
      <c r="Z37" s="7"/>
      <c r="AA37" s="7"/>
      <c r="AB37" s="7"/>
      <c r="AC37" s="7"/>
      <c r="AD37" s="7"/>
      <c r="AE37" s="7"/>
      <c r="AF37" s="7"/>
      <c r="AG37" s="7"/>
      <c r="AH37" s="7"/>
      <c r="AI37" s="7"/>
      <c r="AJ37" s="7"/>
      <c r="AK37" s="7"/>
      <c r="AL37" s="7"/>
      <c r="AM37" s="7"/>
      <c r="AN37" s="7"/>
      <c r="AO37" s="7"/>
      <c r="AP37" s="7"/>
      <c r="AQ37" s="7"/>
      <c r="AR37" s="7"/>
      <c r="AS37" s="7"/>
      <c r="AT37" s="7"/>
      <c r="AU37" s="7"/>
      <c r="AV37" s="7"/>
      <c r="AW37" s="7"/>
      <c r="AX37" s="7"/>
      <c r="AY37" s="7"/>
      <c r="AZ37" s="7"/>
      <c r="BA37" s="7"/>
      <c r="BB37" s="7"/>
      <c r="BC37" s="7"/>
      <c r="BD37" s="7"/>
      <c r="BE37" s="7"/>
      <c r="BF37" s="7"/>
      <c r="BG37" s="7"/>
      <c r="BH37" s="7"/>
      <c r="BI37" s="7"/>
      <c r="BJ37" s="7"/>
      <c r="BK37" s="7"/>
      <c r="BL37" s="7"/>
      <c r="BM37" s="7"/>
      <c r="BN37" s="7"/>
      <c r="BO37" s="7"/>
      <c r="BP37" s="7"/>
      <c r="BQ37" s="7"/>
      <c r="BR37" s="7"/>
      <c r="BS37" s="7"/>
      <c r="BT37" s="4"/>
    </row>
    <row r="38" spans="1:72" ht="16.5" outlineLevel="1">
      <c r="A38" s="4"/>
      <c r="B38" s="4"/>
      <c r="C38" s="169">
        <v>4</v>
      </c>
      <c r="D38" s="70" t="s">
        <v>449</v>
      </c>
      <c r="E38" s="7"/>
      <c r="F38" s="7"/>
      <c r="G38" s="7"/>
      <c r="H38" s="7"/>
      <c r="I38" s="7"/>
      <c r="J38" s="7"/>
      <c r="K38" s="7"/>
      <c r="L38" s="7"/>
      <c r="M38" s="7"/>
      <c r="N38" s="7"/>
      <c r="O38" s="7"/>
      <c r="P38" s="7"/>
      <c r="Q38" s="7"/>
      <c r="R38" s="7"/>
      <c r="S38" s="7"/>
      <c r="T38" s="7"/>
      <c r="U38" s="7"/>
      <c r="V38" s="7"/>
      <c r="W38" s="7"/>
      <c r="X38" s="7"/>
      <c r="Y38" s="7"/>
      <c r="Z38" s="7"/>
      <c r="AA38" s="7"/>
      <c r="AB38" s="7"/>
      <c r="AC38" s="7"/>
      <c r="AD38" s="7"/>
      <c r="AE38" s="7"/>
      <c r="AF38" s="7"/>
      <c r="AG38" s="7"/>
      <c r="AH38" s="7"/>
      <c r="AI38" s="7"/>
      <c r="AJ38" s="7"/>
      <c r="AK38" s="7"/>
      <c r="AL38" s="7"/>
      <c r="AM38" s="7"/>
      <c r="AN38" s="7"/>
      <c r="AO38" s="7"/>
      <c r="AP38" s="7"/>
      <c r="AQ38" s="7"/>
      <c r="AR38" s="7"/>
      <c r="AS38" s="7"/>
      <c r="AT38" s="7"/>
      <c r="AU38" s="7"/>
      <c r="AV38" s="7"/>
      <c r="AW38" s="7"/>
      <c r="AX38" s="7"/>
      <c r="AY38" s="7"/>
      <c r="AZ38" s="7"/>
      <c r="BA38" s="7"/>
      <c r="BB38" s="7"/>
      <c r="BC38" s="7"/>
      <c r="BD38" s="7"/>
      <c r="BE38" s="7"/>
      <c r="BF38" s="7"/>
      <c r="BG38" s="7"/>
      <c r="BH38" s="7"/>
      <c r="BI38" s="7"/>
      <c r="BJ38" s="7"/>
      <c r="BK38" s="7"/>
      <c r="BL38" s="7"/>
      <c r="BM38" s="7"/>
      <c r="BN38" s="7"/>
      <c r="BO38" s="7"/>
      <c r="BP38" s="7"/>
      <c r="BQ38" s="7"/>
      <c r="BR38" s="7"/>
      <c r="BS38" s="7"/>
      <c r="BT38" s="4"/>
    </row>
    <row r="39" spans="1:72" outlineLevel="1">
      <c r="A39" s="4"/>
      <c r="B39" s="4"/>
      <c r="C39" s="7" t="s">
        <v>450</v>
      </c>
      <c r="E39" s="7"/>
      <c r="F39" s="7"/>
      <c r="G39" s="7"/>
      <c r="H39" s="7"/>
      <c r="I39" s="7"/>
      <c r="J39" s="7"/>
      <c r="K39" s="7"/>
      <c r="L39" s="7"/>
      <c r="M39" s="7"/>
      <c r="N39" s="7"/>
      <c r="O39" s="7"/>
      <c r="P39" s="7"/>
      <c r="Q39" s="7"/>
      <c r="R39" s="7"/>
      <c r="S39" s="7"/>
      <c r="T39" s="7"/>
      <c r="U39" s="7"/>
      <c r="V39" s="7"/>
      <c r="W39" s="7"/>
      <c r="X39" s="7"/>
      <c r="Y39" s="7"/>
      <c r="Z39" s="7"/>
      <c r="AA39" s="7"/>
      <c r="AB39" s="7"/>
      <c r="AC39" s="7"/>
      <c r="AD39" s="7"/>
      <c r="AE39" s="7"/>
      <c r="AF39" s="7"/>
      <c r="AG39" s="7"/>
      <c r="AH39" s="7"/>
      <c r="AI39" s="7"/>
      <c r="AJ39" s="7"/>
      <c r="AK39" s="7"/>
      <c r="AL39" s="7"/>
      <c r="AM39" s="7"/>
      <c r="AN39" s="7"/>
      <c r="AO39" s="7"/>
      <c r="AP39" s="7"/>
      <c r="AQ39" s="7"/>
      <c r="AR39" s="7"/>
      <c r="AS39" s="7"/>
      <c r="AT39" s="7"/>
      <c r="AU39" s="7"/>
      <c r="AV39" s="7"/>
      <c r="AW39" s="7"/>
      <c r="AX39" s="7"/>
      <c r="AY39" s="7"/>
      <c r="AZ39" s="7"/>
      <c r="BA39" s="7"/>
      <c r="BB39" s="7"/>
      <c r="BC39" s="7"/>
      <c r="BD39" s="7"/>
      <c r="BE39" s="7"/>
      <c r="BF39" s="7"/>
      <c r="BG39" s="7"/>
      <c r="BH39" s="7"/>
      <c r="BI39" s="7"/>
      <c r="BJ39" s="7"/>
      <c r="BK39" s="7"/>
      <c r="BL39" s="7"/>
      <c r="BM39" s="7"/>
      <c r="BN39" s="7"/>
      <c r="BO39" s="7"/>
      <c r="BP39" s="7"/>
      <c r="BQ39" s="7"/>
      <c r="BR39" s="7"/>
      <c r="BS39" s="7"/>
      <c r="BT39" s="4"/>
    </row>
    <row r="40" spans="1:72">
      <c r="A40" s="4"/>
      <c r="B40" s="4"/>
      <c r="C40" s="4"/>
      <c r="D40" s="4"/>
      <c r="E40" s="4"/>
      <c r="F40" s="4"/>
      <c r="G40" s="4"/>
      <c r="H40" s="4"/>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4"/>
      <c r="BE40" s="4"/>
      <c r="BF40" s="4"/>
      <c r="BG40" s="4"/>
      <c r="BH40" s="4"/>
      <c r="BI40" s="4"/>
      <c r="BJ40" s="4"/>
      <c r="BK40" s="4"/>
      <c r="BL40" s="4"/>
      <c r="BM40" s="4"/>
      <c r="BN40" s="4"/>
      <c r="BO40" s="4"/>
      <c r="BP40" s="4"/>
      <c r="BQ40" s="4"/>
      <c r="BR40" s="4"/>
      <c r="BS40" s="4"/>
      <c r="BT40" s="4"/>
    </row>
  </sheetData>
  <mergeCells count="12">
    <mergeCell ref="E28:P28"/>
    <mergeCell ref="E29:P29"/>
    <mergeCell ref="E30:P30"/>
    <mergeCell ref="C2:BS2"/>
    <mergeCell ref="C3:BS3"/>
    <mergeCell ref="BE15:BR15"/>
    <mergeCell ref="T15:W15"/>
    <mergeCell ref="G15:S15"/>
    <mergeCell ref="AA15:AE15"/>
    <mergeCell ref="AF15:AT15"/>
    <mergeCell ref="AU15:BD15"/>
    <mergeCell ref="X15:Z15"/>
  </mergeCells>
  <phoneticPr fontId="1" type="noConversion"/>
  <conditionalFormatting sqref="H16:Q26 T16:BR26">
    <cfRule type="beginsWith" dxfId="2006" priority="1" operator="beginsWith" text="Not Required">
      <formula>LEFT(H16,LEN("Not Required"))="Not Required"</formula>
    </cfRule>
    <cfRule type="beginsWith" dxfId="2005" priority="2" operator="beginsWith" text="Required">
      <formula>LEFT(H16,LEN("Required"))="Required"</formula>
    </cfRule>
  </conditionalFormatting>
  <conditionalFormatting sqref="R17:S26">
    <cfRule type="beginsWith" dxfId="2004" priority="3" operator="beginsWith" text="Not Required">
      <formula>LEFT(R17,LEN("Not Required"))="Not Required"</formula>
    </cfRule>
    <cfRule type="beginsWith" dxfId="2003" priority="4" operator="beginsWith" text="Required">
      <formula>LEFT(R17,LEN("Required"))="Required"</formula>
    </cfRule>
  </conditionalFormatting>
  <dataValidations count="3">
    <dataValidation allowBlank="1" showErrorMessage="1" sqref="E27:E31 F31:BI31 K27:P27 F27:J27 Q27:BI29" xr:uid="{F8B8639E-E3C6-498D-AC5D-290EBE53913E}"/>
    <dataValidation allowBlank="1" showInputMessage="1" showErrorMessage="1" prompt="Posture and Vulnerability Management" sqref="BA16" xr:uid="{D6426627-2C59-49E9-B766-D43DA53B5C64}"/>
    <dataValidation allowBlank="1" showInputMessage="1" showErrorMessage="1" prompt="SIEM" sqref="AZ16" xr:uid="{222583A8-B618-476A-8205-1659C3BC6797}"/>
  </dataValidations>
  <hyperlinks>
    <hyperlink ref="D36" r:id="rId1" location="continuous-validation-and-testing" display="https://learn.microsoft.com/en-us/azure/well-architected/mission-critical/mission-critical-deployment-testing - continuous-validation-and-testing" xr:uid="{F5E5567F-8075-47D5-A1C5-D4DA906B5D11}"/>
    <hyperlink ref="D35" r:id="rId2" location="criticality-scale" display="https://learn.microsoft.com/en-us/azure/cloud-adoption-framework/manage/considerations/criticality - criticality-scale" xr:uid="{39E432F4-AD20-4E5B-B07E-675208D366A9}"/>
    <hyperlink ref="D38" r:id="rId3" display="Security Controls are aligned with the Microsoft Cloud Security Benchmark v1" xr:uid="{B5F7366D-E630-43FB-8356-169C213C5ABF}"/>
    <hyperlink ref="D37" location="'1B Requirements'!A1" display="Categories are aligned to the standard requirements." xr:uid="{9AB320A6-5F9A-4187-A814-276DBE64098A}"/>
  </hyperlinks>
  <pageMargins left="0.7" right="0.7" top="0.75" bottom="0.75" header="0.3" footer="0.3"/>
  <pageSetup orientation="portrait" r:id="rId4"/>
  <drawing r:id="rId5"/>
  <tableParts count="1">
    <tablePart r:id="rId6"/>
  </tableParts>
  <extLst>
    <ext xmlns:x14="http://schemas.microsoft.com/office/spreadsheetml/2009/9/main" uri="{78C0D931-6437-407d-A8EE-F0AAD7539E65}">
      <x14:conditionalFormattings>
        <x14:conditionalFormatting xmlns:xm="http://schemas.microsoft.com/office/excel/2006/main">
          <x14:cfRule type="cellIs" priority="5" operator="equal" id="{3FFE7B48-445C-4C0C-836D-1852B511AD2B}">
            <xm:f>Data!$L$13</xm:f>
            <x14:dxf>
              <font>
                <color theme="0"/>
              </font>
              <fill>
                <patternFill>
                  <bgColor rgb="FFF25022"/>
                </patternFill>
              </fill>
            </x14:dxf>
          </x14:cfRule>
          <x14:cfRule type="cellIs" priority="6" operator="equal" id="{E734270E-FD7E-47FD-8296-7237C16D2D2F}">
            <xm:f>Data!$L$12</xm:f>
            <x14:dxf>
              <font>
                <color theme="0"/>
              </font>
              <fill>
                <patternFill>
                  <bgColor rgb="FFF25022"/>
                </patternFill>
              </fill>
            </x14:dxf>
          </x14:cfRule>
          <x14:cfRule type="cellIs" priority="7" operator="equal" id="{2BB67356-A9C9-472B-8D7D-813342513BEE}">
            <xm:f>Data!$L$11</xm:f>
            <x14:dxf>
              <font>
                <color theme="0"/>
              </font>
              <fill>
                <patternFill>
                  <bgColor rgb="FFF25022"/>
                </patternFill>
              </fill>
            </x14:dxf>
          </x14:cfRule>
          <x14:cfRule type="cellIs" priority="8" operator="equal" id="{E203B192-BBDB-4CF0-A59B-149A8D251729}">
            <xm:f>Data!$L$10</xm:f>
            <x14:dxf>
              <font>
                <color theme="0"/>
              </font>
              <fill>
                <patternFill>
                  <bgColor rgb="FFF25022"/>
                </patternFill>
              </fill>
            </x14:dxf>
          </x14:cfRule>
          <x14:cfRule type="cellIs" priority="9" operator="equal" id="{BCFB6BA4-E094-4CC7-B641-C465762E5B01}">
            <xm:f>Data!$L$6</xm:f>
            <x14:dxf>
              <font>
                <color theme="0"/>
              </font>
              <fill>
                <patternFill>
                  <bgColor rgb="FFF25022"/>
                </patternFill>
              </fill>
            </x14:dxf>
          </x14:cfRule>
          <x14:cfRule type="cellIs" priority="10" operator="equal" id="{3897F3F3-5EBB-42C0-A46C-30352F309F46}">
            <xm:f>Data!$L$9</xm:f>
            <x14:dxf>
              <font>
                <color theme="1"/>
              </font>
              <fill>
                <patternFill>
                  <bgColor rgb="FF7FBA00"/>
                </patternFill>
              </fill>
            </x14:dxf>
          </x14:cfRule>
          <x14:cfRule type="cellIs" priority="11" operator="equal" id="{B35C1A4E-8441-46AC-ABA7-E04591BACAB3}">
            <xm:f>Data!$L$8</xm:f>
            <x14:dxf>
              <font>
                <color theme="0"/>
              </font>
              <fill>
                <patternFill>
                  <bgColor rgb="FF00A4EF"/>
                </patternFill>
              </fill>
            </x14:dxf>
          </x14:cfRule>
          <x14:cfRule type="cellIs" priority="12" operator="equal" id="{98150157-58E8-430B-975D-3A988DCB4BA5}">
            <xm:f>Data!$L$7</xm:f>
            <x14:dxf>
              <font>
                <color theme="1"/>
              </font>
              <fill>
                <patternFill>
                  <bgColor rgb="FFFFB900"/>
                </patternFill>
              </fill>
            </x14:dxf>
          </x14:cfRule>
          <x14:cfRule type="cellIs" priority="13" operator="equal" id="{E1584BE4-4570-47EF-98C7-DF469A4B393C}">
            <xm:f>Data!$L$5</xm:f>
            <x14:dxf>
              <font>
                <color theme="0"/>
              </font>
              <fill>
                <patternFill>
                  <bgColor rgb="FFF25022"/>
                </patternFill>
              </fill>
            </x14:dxf>
          </x14:cfRule>
          <xm:sqref>R17:BR22 V17:W24 D17:Q25 K17:L26 AI17:AM26 AR17:AS26 AV17:AX26 BC17:BC26 BN17:BN26 BP17:BQ26 T18:W24 H18:P26 AU18:AX26 Y23:AT24 X23:X25 BE23:BE25 AA23:AU26 BB23:BD26 BH23:BR26 W24:W26 Z24:Z26</xm:sqref>
        </x14:conditionalFormatting>
        <x14:conditionalFormatting xmlns:xm="http://schemas.microsoft.com/office/excel/2006/main">
          <x14:cfRule type="cellIs" priority="14" operator="equal" id="{E96E47EC-3F36-4435-9B8A-425634483787}">
            <xm:f>Data!$L$6+Data!$L$14</xm:f>
            <x14:dxf>
              <font>
                <color theme="0"/>
              </font>
              <fill>
                <patternFill>
                  <bgColor rgb="FF747474"/>
                </patternFill>
              </fill>
            </x14:dxf>
          </x14:cfRule>
          <xm:sqref>R17:BR22 V17:W24 D17:Q26 AI17:AM26 AR17:AS26 AV17:AX26 BC17:BC26 BN17:BN26 BP17:BQ26 T18:W24 AU18:AX26 Y23:AT24 X23:X25 BE23:BE25 AA23:AU26 BB23:BD26 BH23:BR26 W24:W26 Z24:Z26 R26:BQ26 D27:BR27 BJ28:BR30 D31:BR31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FEAFC7-D145-4DCA-8356-A027269DF426}">
          <x14:formula1>
            <xm:f>Data!$L$5:$L$14</xm:f>
          </x14:formula1>
          <xm:sqref>E17:E26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33AD93-5FC6-4FC8-AF2E-41B6C532785E}">
  <sheetPr>
    <tabColor rgb="FFF25022"/>
  </sheetPr>
  <dimension ref="A1:R250"/>
  <sheetViews>
    <sheetView showGridLines="0" showRowColHeaders="0" zoomScale="85" zoomScaleNormal="85" workbookViewId="0">
      <selection activeCell="I65" sqref="I65"/>
    </sheetView>
  </sheetViews>
  <sheetFormatPr defaultColWidth="0" defaultRowHeight="14.45" zeroHeight="1" outlineLevelRow="1"/>
  <cols>
    <col min="1" max="2" width="5.85546875" customWidth="1"/>
    <col min="3" max="3" width="3.85546875" customWidth="1"/>
    <col min="4" max="4" width="45.85546875" customWidth="1"/>
    <col min="5" max="5" width="35.5703125" customWidth="1"/>
    <col min="6" max="6" width="38.140625" customWidth="1"/>
    <col min="7" max="7" width="35.5703125" customWidth="1"/>
    <col min="8" max="8" width="35.140625" bestFit="1" customWidth="1"/>
    <col min="9" max="9" width="35.5703125" customWidth="1"/>
    <col min="10" max="10" width="35.42578125" bestFit="1" customWidth="1"/>
    <col min="11" max="11" width="34.85546875" bestFit="1" customWidth="1"/>
    <col min="12" max="12" width="35.140625" bestFit="1" customWidth="1"/>
    <col min="13" max="13" width="29.85546875" bestFit="1" customWidth="1"/>
    <col min="14" max="15" width="3.85546875" customWidth="1"/>
    <col min="16" max="18" width="0" hidden="1" customWidth="1"/>
    <col min="19" max="16384" width="8.85546875" hidden="1"/>
  </cols>
  <sheetData>
    <row r="1" spans="1:15">
      <c r="A1" s="4"/>
      <c r="B1" s="4"/>
      <c r="C1" s="4"/>
      <c r="D1" s="4"/>
      <c r="E1" s="4"/>
      <c r="F1" s="4"/>
      <c r="G1" s="4"/>
      <c r="H1" s="4"/>
      <c r="I1" s="4"/>
      <c r="J1" s="4"/>
      <c r="K1" s="4"/>
      <c r="L1" s="4"/>
      <c r="M1" s="4"/>
      <c r="N1" s="4"/>
      <c r="O1" s="4"/>
    </row>
    <row r="2" spans="1:15" ht="21">
      <c r="A2" s="4"/>
      <c r="B2" s="4"/>
      <c r="C2" s="618" t="s">
        <v>451</v>
      </c>
      <c r="D2" s="618"/>
      <c r="E2" s="618"/>
      <c r="F2" s="618"/>
      <c r="G2" s="618"/>
      <c r="H2" s="618"/>
      <c r="I2" s="618"/>
      <c r="J2" s="618"/>
      <c r="K2" s="618"/>
      <c r="L2" s="618"/>
      <c r="M2" s="618"/>
      <c r="N2" s="618"/>
      <c r="O2" s="4"/>
    </row>
    <row r="3" spans="1:15" ht="14.45" customHeight="1">
      <c r="A3" s="4"/>
      <c r="B3" s="4"/>
      <c r="C3" s="642" t="s">
        <v>452</v>
      </c>
      <c r="D3" s="642"/>
      <c r="E3" s="642"/>
      <c r="F3" s="642"/>
      <c r="G3" s="642"/>
      <c r="H3" s="642"/>
      <c r="I3" s="642"/>
      <c r="J3" s="642"/>
      <c r="K3" s="642"/>
      <c r="L3" s="642"/>
      <c r="M3" s="642"/>
      <c r="N3" s="642"/>
      <c r="O3" s="4"/>
    </row>
    <row r="4" spans="1:15">
      <c r="A4" s="4"/>
      <c r="B4" s="4"/>
      <c r="C4" s="642"/>
      <c r="D4" s="642"/>
      <c r="E4" s="642"/>
      <c r="F4" s="642"/>
      <c r="G4" s="642"/>
      <c r="H4" s="642"/>
      <c r="I4" s="642"/>
      <c r="J4" s="642"/>
      <c r="K4" s="642"/>
      <c r="L4" s="642"/>
      <c r="M4" s="642"/>
      <c r="N4" s="642"/>
      <c r="O4" s="4"/>
    </row>
    <row r="5" spans="1:15">
      <c r="A5" s="4"/>
      <c r="B5" s="4"/>
      <c r="C5" s="4"/>
      <c r="D5" s="8"/>
      <c r="E5" s="8"/>
      <c r="F5" s="4"/>
      <c r="G5" s="4"/>
      <c r="H5" s="4"/>
      <c r="I5" s="4"/>
      <c r="J5" s="4"/>
      <c r="K5" s="4"/>
      <c r="L5" s="4"/>
      <c r="M5" s="4"/>
      <c r="N5" s="4"/>
      <c r="O5" s="4"/>
    </row>
    <row r="6" spans="1:15">
      <c r="A6" s="4"/>
      <c r="B6" s="4"/>
      <c r="C6" s="7"/>
      <c r="D6" s="195"/>
      <c r="E6" s="7"/>
      <c r="F6" s="7"/>
      <c r="G6" s="7"/>
      <c r="H6" s="7"/>
      <c r="I6" s="7"/>
      <c r="J6" s="7"/>
      <c r="K6" s="7"/>
      <c r="L6" s="7"/>
      <c r="M6" s="7"/>
      <c r="N6" s="7"/>
      <c r="O6" s="4"/>
    </row>
    <row r="7" spans="1:15">
      <c r="A7" s="4"/>
      <c r="B7" s="4"/>
      <c r="C7" s="7"/>
      <c r="D7" s="170" t="s">
        <v>299</v>
      </c>
      <c r="E7" s="260"/>
      <c r="F7" s="7"/>
      <c r="G7" s="7"/>
      <c r="H7" s="7"/>
      <c r="I7" s="7"/>
      <c r="J7" s="7"/>
      <c r="K7" s="7"/>
      <c r="L7" s="7"/>
      <c r="M7" s="7"/>
      <c r="N7" s="7"/>
      <c r="O7" s="4"/>
    </row>
    <row r="8" spans="1:15">
      <c r="A8" s="4"/>
      <c r="B8" s="4"/>
      <c r="C8" s="7"/>
      <c r="D8" s="170" t="s">
        <v>300</v>
      </c>
      <c r="E8" s="260"/>
      <c r="F8" s="7"/>
      <c r="G8" s="7"/>
      <c r="H8" s="7"/>
      <c r="I8" s="7"/>
      <c r="J8" s="7"/>
      <c r="K8" s="7"/>
      <c r="L8" s="7"/>
      <c r="M8" s="7"/>
      <c r="N8" s="7"/>
      <c r="O8" s="4"/>
    </row>
    <row r="9" spans="1:15">
      <c r="A9" s="4"/>
      <c r="B9" s="4"/>
      <c r="C9" s="7"/>
      <c r="D9" s="170" t="s">
        <v>301</v>
      </c>
      <c r="E9" s="260"/>
      <c r="F9" s="7"/>
      <c r="G9" s="7"/>
      <c r="H9" s="7"/>
      <c r="I9" s="7"/>
      <c r="J9" s="7"/>
      <c r="K9" s="7"/>
      <c r="L9" s="7"/>
      <c r="M9" s="7"/>
      <c r="N9" s="7"/>
      <c r="O9" s="4"/>
    </row>
    <row r="10" spans="1:15">
      <c r="A10" s="4"/>
      <c r="B10" s="4"/>
      <c r="C10" s="7"/>
      <c r="D10" s="170" t="s">
        <v>0</v>
      </c>
      <c r="E10" s="260"/>
      <c r="F10" s="7"/>
      <c r="G10" s="7"/>
      <c r="H10" s="7"/>
      <c r="I10" s="7"/>
      <c r="J10" s="7"/>
      <c r="K10" s="7"/>
      <c r="L10" s="7"/>
      <c r="M10" s="7"/>
      <c r="N10" s="7"/>
      <c r="O10" s="4"/>
    </row>
    <row r="11" spans="1:15">
      <c r="A11" s="4"/>
      <c r="B11" s="4"/>
      <c r="C11" s="7"/>
      <c r="D11" s="7"/>
      <c r="E11" s="159"/>
      <c r="F11" s="159"/>
      <c r="G11" s="7"/>
      <c r="H11" s="7"/>
      <c r="I11" s="7"/>
      <c r="J11" s="7"/>
      <c r="K11" s="7"/>
      <c r="L11" s="7"/>
      <c r="M11" s="7"/>
      <c r="N11" s="7"/>
      <c r="O11" s="4"/>
    </row>
    <row r="12" spans="1:15">
      <c r="A12" s="4"/>
      <c r="B12" s="4"/>
      <c r="C12" s="4"/>
      <c r="D12" s="8"/>
      <c r="E12" s="8"/>
      <c r="F12" s="4"/>
      <c r="G12" s="4"/>
      <c r="H12" s="4"/>
      <c r="I12" s="4"/>
      <c r="J12" s="4"/>
      <c r="K12" s="4"/>
      <c r="L12" s="4"/>
      <c r="M12" s="4"/>
      <c r="N12" s="4"/>
      <c r="O12" s="4"/>
    </row>
    <row r="13" spans="1:15" ht="21">
      <c r="A13" s="102"/>
      <c r="B13" s="102"/>
      <c r="C13" s="102" t="s">
        <v>453</v>
      </c>
      <c r="D13" s="102"/>
      <c r="E13" s="102"/>
      <c r="F13" s="102"/>
      <c r="G13" s="102"/>
      <c r="H13" s="102"/>
      <c r="I13" s="102"/>
      <c r="J13" s="4"/>
      <c r="K13" s="4"/>
      <c r="L13" s="4"/>
      <c r="M13" s="4"/>
      <c r="N13" s="4"/>
      <c r="O13" s="4"/>
    </row>
    <row r="14" spans="1:15" hidden="1" outlineLevel="1">
      <c r="A14" s="4"/>
      <c r="B14" s="4"/>
      <c r="C14" s="4"/>
      <c r="D14" s="4"/>
      <c r="E14" s="4"/>
      <c r="F14" s="4"/>
      <c r="G14" s="4"/>
      <c r="H14" s="4"/>
      <c r="I14" s="4"/>
      <c r="J14" s="4"/>
      <c r="K14" s="4"/>
      <c r="L14" s="4"/>
      <c r="M14" s="4"/>
      <c r="N14" s="4"/>
      <c r="O14" s="4"/>
    </row>
    <row r="15" spans="1:15" hidden="1" outlineLevel="1">
      <c r="A15" s="4"/>
      <c r="B15" s="4"/>
      <c r="C15" s="4"/>
      <c r="D15" s="4"/>
      <c r="E15" s="4"/>
      <c r="F15" s="4"/>
      <c r="G15" s="4"/>
      <c r="H15" s="4"/>
      <c r="I15" s="4"/>
      <c r="J15" s="4"/>
      <c r="K15" s="4"/>
      <c r="L15" s="4"/>
      <c r="M15" s="4"/>
      <c r="N15" s="4"/>
      <c r="O15" s="4"/>
    </row>
    <row r="16" spans="1:15" hidden="1" outlineLevel="1">
      <c r="A16" s="4"/>
      <c r="B16" s="4"/>
      <c r="C16" s="4"/>
      <c r="D16" s="4"/>
      <c r="E16" s="4"/>
      <c r="F16" s="4"/>
      <c r="G16" s="4"/>
      <c r="H16" s="4"/>
      <c r="I16" s="4"/>
      <c r="J16" s="4"/>
      <c r="K16" s="4"/>
      <c r="L16" s="4"/>
      <c r="M16" s="4"/>
      <c r="N16" s="4"/>
      <c r="O16" s="4"/>
    </row>
    <row r="17" spans="1:15" hidden="1" outlineLevel="1">
      <c r="A17" s="4"/>
      <c r="B17" s="4"/>
      <c r="C17" s="4"/>
      <c r="D17" s="4"/>
      <c r="E17" s="4"/>
      <c r="F17" s="4"/>
      <c r="G17" s="4"/>
      <c r="H17" s="4"/>
      <c r="I17" s="4"/>
      <c r="J17" s="4"/>
      <c r="K17" s="4"/>
      <c r="L17" s="4"/>
      <c r="M17" s="4"/>
      <c r="N17" s="4"/>
      <c r="O17" s="4"/>
    </row>
    <row r="18" spans="1:15" hidden="1" outlineLevel="1">
      <c r="A18" s="4"/>
      <c r="B18" s="4"/>
      <c r="C18" s="4"/>
      <c r="D18" s="4"/>
      <c r="E18" s="4"/>
      <c r="F18" s="4"/>
      <c r="G18" s="4"/>
      <c r="H18" s="4"/>
      <c r="I18" s="4"/>
      <c r="J18" s="4"/>
      <c r="K18" s="4"/>
      <c r="L18" s="4"/>
      <c r="M18" s="4"/>
      <c r="N18" s="4"/>
      <c r="O18" s="4"/>
    </row>
    <row r="19" spans="1:15" hidden="1" outlineLevel="1">
      <c r="A19" s="4"/>
      <c r="B19" s="4"/>
      <c r="C19" s="4"/>
      <c r="D19" s="4"/>
      <c r="E19" s="4"/>
      <c r="F19" s="4"/>
      <c r="G19" s="4"/>
      <c r="H19" s="4"/>
      <c r="I19" s="4"/>
      <c r="J19" s="4"/>
      <c r="K19" s="4"/>
      <c r="L19" s="4"/>
      <c r="M19" s="4"/>
      <c r="N19" s="4"/>
      <c r="O19" s="4"/>
    </row>
    <row r="20" spans="1:15" hidden="1" outlineLevel="1">
      <c r="A20" s="4"/>
      <c r="B20" s="4"/>
      <c r="C20" s="4"/>
      <c r="D20" s="4"/>
      <c r="E20" s="4"/>
      <c r="F20" s="4"/>
      <c r="G20" s="4"/>
      <c r="H20" s="4"/>
      <c r="I20" s="4"/>
      <c r="J20" s="4"/>
      <c r="K20" s="4"/>
      <c r="L20" s="4"/>
      <c r="M20" s="4"/>
      <c r="N20" s="4"/>
      <c r="O20" s="4"/>
    </row>
    <row r="21" spans="1:15" hidden="1" outlineLevel="1">
      <c r="A21" s="4"/>
      <c r="B21" s="4"/>
      <c r="C21" s="4"/>
      <c r="D21" s="4"/>
      <c r="E21" s="4"/>
      <c r="F21" s="4"/>
      <c r="G21" s="4"/>
      <c r="H21" s="4"/>
      <c r="I21" s="4"/>
      <c r="J21" s="4"/>
      <c r="K21" s="4"/>
      <c r="L21" s="4"/>
      <c r="M21" s="4"/>
      <c r="N21" s="4"/>
      <c r="O21" s="4"/>
    </row>
    <row r="22" spans="1:15" hidden="1" outlineLevel="1">
      <c r="A22" s="4"/>
      <c r="B22" s="4"/>
      <c r="C22" s="4"/>
      <c r="D22" s="4"/>
      <c r="E22" s="4"/>
      <c r="F22" s="4"/>
      <c r="G22" s="4"/>
      <c r="H22" s="4"/>
      <c r="I22" s="4"/>
      <c r="J22" s="4"/>
      <c r="K22" s="4"/>
      <c r="L22" s="4"/>
      <c r="M22" s="4"/>
      <c r="N22" s="4"/>
      <c r="O22" s="4"/>
    </row>
    <row r="23" spans="1:15" hidden="1" outlineLevel="1">
      <c r="A23" s="4"/>
      <c r="B23" s="4"/>
      <c r="C23" s="4"/>
      <c r="D23" s="4"/>
      <c r="E23" s="4"/>
      <c r="F23" s="4"/>
      <c r="G23" s="4"/>
      <c r="H23" s="4"/>
      <c r="I23" s="4"/>
      <c r="J23" s="4"/>
      <c r="K23" s="4"/>
      <c r="L23" s="4"/>
      <c r="M23" s="4"/>
      <c r="N23" s="4"/>
      <c r="O23" s="4"/>
    </row>
    <row r="24" spans="1:15" hidden="1" outlineLevel="1">
      <c r="A24" s="4"/>
      <c r="B24" s="4"/>
      <c r="C24" s="4"/>
      <c r="D24" s="4"/>
      <c r="E24" s="4"/>
      <c r="F24" s="4"/>
      <c r="G24" s="4"/>
      <c r="H24" s="4"/>
      <c r="I24" s="4"/>
      <c r="J24" s="4"/>
      <c r="K24" s="4"/>
      <c r="L24" s="4"/>
      <c r="M24" s="4"/>
      <c r="N24" s="4"/>
      <c r="O24" s="4"/>
    </row>
    <row r="25" spans="1:15" hidden="1" outlineLevel="1">
      <c r="A25" s="4"/>
      <c r="B25" s="4"/>
      <c r="C25" s="4"/>
      <c r="D25" s="4"/>
      <c r="E25" s="4"/>
      <c r="F25" s="4"/>
      <c r="G25" s="4"/>
      <c r="H25" s="4"/>
      <c r="I25" s="4"/>
      <c r="J25" s="4"/>
      <c r="K25" s="4"/>
      <c r="L25" s="4"/>
      <c r="M25" s="4"/>
      <c r="N25" s="4"/>
      <c r="O25" s="4"/>
    </row>
    <row r="26" spans="1:15" hidden="1" outlineLevel="1">
      <c r="A26" s="4"/>
      <c r="B26" s="4"/>
      <c r="C26" s="4"/>
      <c r="D26" s="4"/>
      <c r="E26" s="4"/>
      <c r="F26" s="4"/>
      <c r="G26" s="4"/>
      <c r="H26" s="4"/>
      <c r="I26" s="4"/>
      <c r="J26" s="4"/>
      <c r="K26" s="4"/>
      <c r="L26" s="4"/>
      <c r="M26" s="4"/>
      <c r="N26" s="4"/>
      <c r="O26" s="4"/>
    </row>
    <row r="27" spans="1:15" hidden="1" outlineLevel="1">
      <c r="A27" s="4"/>
      <c r="B27" s="4"/>
      <c r="C27" s="4"/>
      <c r="D27" s="4"/>
      <c r="E27" s="4"/>
      <c r="F27" s="4"/>
      <c r="G27" s="4"/>
      <c r="H27" s="4"/>
      <c r="I27" s="4"/>
      <c r="J27" s="4"/>
      <c r="K27" s="4"/>
      <c r="L27" s="4"/>
      <c r="M27" s="4"/>
      <c r="N27" s="4"/>
      <c r="O27" s="4"/>
    </row>
    <row r="28" spans="1:15" hidden="1" outlineLevel="1">
      <c r="A28" s="4"/>
      <c r="B28" s="4"/>
      <c r="C28" s="4"/>
      <c r="D28" s="4"/>
      <c r="E28" s="4"/>
      <c r="F28" s="4"/>
      <c r="G28" s="4"/>
      <c r="H28" s="4"/>
      <c r="I28" s="4"/>
      <c r="J28" s="4"/>
      <c r="K28" s="4"/>
      <c r="L28" s="4"/>
      <c r="M28" s="4"/>
      <c r="N28" s="4"/>
      <c r="O28" s="4"/>
    </row>
    <row r="29" spans="1:15" hidden="1" outlineLevel="1">
      <c r="A29" s="4"/>
      <c r="B29" s="4"/>
      <c r="C29" s="4"/>
      <c r="D29" s="4"/>
      <c r="E29" s="4"/>
      <c r="F29" s="4"/>
      <c r="G29" s="4"/>
      <c r="H29" s="4"/>
      <c r="I29" s="4"/>
      <c r="J29" s="4"/>
      <c r="K29" s="4"/>
      <c r="L29" s="4"/>
      <c r="M29" s="4"/>
      <c r="N29" s="4"/>
      <c r="O29" s="4"/>
    </row>
    <row r="30" spans="1:15" hidden="1" outlineLevel="1">
      <c r="A30" s="4"/>
      <c r="B30" s="4"/>
      <c r="C30" s="4"/>
      <c r="D30" s="4"/>
      <c r="E30" s="4"/>
      <c r="F30" s="4"/>
      <c r="G30" s="4"/>
      <c r="H30" s="4"/>
      <c r="I30" s="4"/>
      <c r="J30" s="4"/>
      <c r="K30" s="4"/>
      <c r="L30" s="4"/>
      <c r="M30" s="4"/>
      <c r="N30" s="4"/>
      <c r="O30" s="4"/>
    </row>
    <row r="31" spans="1:15" hidden="1" outlineLevel="1">
      <c r="A31" s="4"/>
      <c r="B31" s="4"/>
      <c r="C31" s="4"/>
      <c r="D31" s="4"/>
      <c r="E31" s="4"/>
      <c r="F31" s="4"/>
      <c r="G31" s="4"/>
      <c r="H31" s="4"/>
      <c r="I31" s="4"/>
      <c r="J31" s="4"/>
      <c r="K31" s="4"/>
      <c r="L31" s="4"/>
      <c r="M31" s="4"/>
      <c r="N31" s="4"/>
      <c r="O31" s="4"/>
    </row>
    <row r="32" spans="1:15" hidden="1" outlineLevel="1">
      <c r="A32" s="4"/>
      <c r="B32" s="4"/>
      <c r="C32" s="4"/>
      <c r="D32" s="4"/>
      <c r="E32" s="4"/>
      <c r="F32" s="4"/>
      <c r="G32" s="4"/>
      <c r="H32" s="4"/>
      <c r="I32" s="4"/>
      <c r="J32" s="4"/>
      <c r="K32" s="4"/>
      <c r="L32" s="4"/>
      <c r="M32" s="4"/>
      <c r="N32" s="4"/>
      <c r="O32" s="4"/>
    </row>
    <row r="33" spans="1:15" hidden="1" outlineLevel="1">
      <c r="A33" s="4"/>
      <c r="B33" s="4"/>
      <c r="C33" s="4"/>
      <c r="D33" s="4"/>
      <c r="E33" s="4"/>
      <c r="F33" s="4"/>
      <c r="G33" s="4"/>
      <c r="H33" s="4"/>
      <c r="I33" s="4"/>
      <c r="J33" s="4"/>
      <c r="K33" s="4"/>
      <c r="L33" s="4"/>
      <c r="M33" s="4"/>
      <c r="N33" s="4"/>
      <c r="O33" s="4"/>
    </row>
    <row r="34" spans="1:15" hidden="1" outlineLevel="1">
      <c r="A34" s="4"/>
      <c r="B34" s="4"/>
      <c r="C34" s="4"/>
      <c r="D34" s="4"/>
      <c r="E34" s="4"/>
      <c r="F34" s="4"/>
      <c r="G34" s="4"/>
      <c r="H34" s="4"/>
      <c r="I34" s="4"/>
      <c r="J34" s="4"/>
      <c r="K34" s="4"/>
      <c r="L34" s="4"/>
      <c r="M34" s="4"/>
      <c r="N34" s="4"/>
      <c r="O34" s="4"/>
    </row>
    <row r="35" spans="1:15" hidden="1" outlineLevel="1">
      <c r="A35" s="4"/>
      <c r="B35" s="4"/>
      <c r="C35" s="4"/>
      <c r="D35" s="4"/>
      <c r="E35" s="4"/>
      <c r="F35" s="4"/>
      <c r="G35" s="4"/>
      <c r="H35" s="4"/>
      <c r="I35" s="4"/>
      <c r="J35" s="4"/>
      <c r="K35" s="4"/>
      <c r="L35" s="4"/>
      <c r="M35" s="4"/>
      <c r="N35" s="4"/>
      <c r="O35" s="4"/>
    </row>
    <row r="36" spans="1:15" hidden="1" outlineLevel="1">
      <c r="A36" s="4"/>
      <c r="B36" s="4"/>
      <c r="C36" s="4"/>
      <c r="D36" s="4"/>
      <c r="E36" s="4"/>
      <c r="F36" s="4"/>
      <c r="G36" s="4"/>
      <c r="H36" s="4"/>
      <c r="I36" s="4"/>
      <c r="J36" s="4"/>
      <c r="K36" s="4"/>
      <c r="L36" s="4"/>
      <c r="M36" s="4"/>
      <c r="N36" s="4"/>
      <c r="O36" s="4"/>
    </row>
    <row r="37" spans="1:15" hidden="1" outlineLevel="1">
      <c r="A37" s="4"/>
      <c r="B37" s="4"/>
      <c r="C37" s="4"/>
      <c r="D37" s="4"/>
      <c r="E37" s="4"/>
      <c r="F37" s="4"/>
      <c r="G37" s="4"/>
      <c r="H37" s="4"/>
      <c r="I37" s="4"/>
      <c r="J37" s="4"/>
      <c r="K37" s="4"/>
      <c r="L37" s="4"/>
      <c r="M37" s="4"/>
      <c r="N37" s="4"/>
      <c r="O37" s="4"/>
    </row>
    <row r="38" spans="1:15" hidden="1" outlineLevel="1">
      <c r="A38" s="4"/>
      <c r="B38" s="4"/>
      <c r="C38" s="4"/>
      <c r="D38" s="4"/>
      <c r="E38" s="4"/>
      <c r="F38" s="4"/>
      <c r="G38" s="4"/>
      <c r="H38" s="4"/>
      <c r="I38" s="4"/>
      <c r="J38" s="4"/>
      <c r="K38" s="4"/>
      <c r="L38" s="4"/>
      <c r="M38" s="4"/>
      <c r="N38" s="4"/>
      <c r="O38" s="4"/>
    </row>
    <row r="39" spans="1:15" hidden="1" outlineLevel="1">
      <c r="A39" s="4"/>
      <c r="B39" s="4"/>
      <c r="C39" s="4"/>
      <c r="D39" s="4"/>
      <c r="E39" s="4"/>
      <c r="F39" s="4"/>
      <c r="G39" s="4"/>
      <c r="H39" s="4"/>
      <c r="I39" s="4"/>
      <c r="J39" s="4"/>
      <c r="K39" s="4"/>
      <c r="L39" s="4"/>
      <c r="M39" s="4"/>
      <c r="N39" s="4"/>
      <c r="O39" s="4"/>
    </row>
    <row r="40" spans="1:15" hidden="1" outlineLevel="1">
      <c r="A40" s="4"/>
      <c r="B40" s="4"/>
      <c r="C40" s="4"/>
      <c r="D40" s="4"/>
      <c r="E40" s="4"/>
      <c r="F40" s="4"/>
      <c r="G40" s="4"/>
      <c r="H40" s="4"/>
      <c r="I40" s="4"/>
      <c r="J40" s="4"/>
      <c r="K40" s="4"/>
      <c r="L40" s="4"/>
      <c r="M40" s="4"/>
      <c r="N40" s="4"/>
      <c r="O40" s="4"/>
    </row>
    <row r="41" spans="1:15" hidden="1" outlineLevel="1">
      <c r="A41" s="4"/>
      <c r="B41" s="4"/>
      <c r="C41" s="4"/>
      <c r="D41" s="4"/>
      <c r="E41" s="4"/>
      <c r="F41" s="4"/>
      <c r="G41" s="4"/>
      <c r="H41" s="4"/>
      <c r="I41" s="4"/>
      <c r="J41" s="4"/>
      <c r="K41" s="4"/>
      <c r="L41" s="4"/>
      <c r="M41" s="4"/>
      <c r="N41" s="4"/>
      <c r="O41" s="4"/>
    </row>
    <row r="42" spans="1:15" hidden="1" outlineLevel="1">
      <c r="A42" s="4"/>
      <c r="B42" s="4"/>
      <c r="C42" s="4"/>
      <c r="D42" s="4"/>
      <c r="E42" s="4"/>
      <c r="F42" s="4"/>
      <c r="G42" s="4"/>
      <c r="H42" s="4"/>
      <c r="I42" s="4"/>
      <c r="J42" s="4"/>
      <c r="K42" s="4"/>
      <c r="L42" s="4"/>
      <c r="M42" s="4"/>
      <c r="N42" s="4"/>
      <c r="O42" s="4"/>
    </row>
    <row r="43" spans="1:15" hidden="1" outlineLevel="1">
      <c r="A43" s="4"/>
      <c r="B43" s="4"/>
      <c r="C43" s="4"/>
      <c r="D43" s="4"/>
      <c r="E43" s="4"/>
      <c r="F43" s="4"/>
      <c r="G43" s="4"/>
      <c r="H43" s="4"/>
      <c r="I43" s="4"/>
      <c r="J43" s="4"/>
      <c r="K43" s="4"/>
      <c r="L43" s="4"/>
      <c r="M43" s="4"/>
      <c r="N43" s="4"/>
      <c r="O43" s="4"/>
    </row>
    <row r="44" spans="1:15" hidden="1" outlineLevel="1">
      <c r="A44" s="4"/>
      <c r="B44" s="4"/>
      <c r="C44" s="4"/>
      <c r="D44" s="4"/>
      <c r="E44" s="4"/>
      <c r="F44" s="4"/>
      <c r="G44" s="4"/>
      <c r="H44" s="4"/>
      <c r="I44" s="4"/>
      <c r="J44" s="4"/>
      <c r="K44" s="4"/>
      <c r="L44" s="4"/>
      <c r="M44" s="4"/>
      <c r="N44" s="4"/>
      <c r="O44" s="4"/>
    </row>
    <row r="45" spans="1:15" collapsed="1">
      <c r="A45" s="4"/>
      <c r="B45" s="4"/>
      <c r="C45" s="4"/>
      <c r="D45" s="4"/>
      <c r="E45" s="4"/>
      <c r="F45" s="4"/>
      <c r="G45" s="4"/>
      <c r="H45" s="4"/>
      <c r="I45" s="4"/>
      <c r="J45" s="4"/>
      <c r="K45" s="4"/>
      <c r="L45" s="4"/>
      <c r="M45" s="4"/>
      <c r="N45" s="4"/>
      <c r="O45" s="4"/>
    </row>
    <row r="46" spans="1:15" ht="21">
      <c r="A46" s="102"/>
      <c r="B46" s="102"/>
      <c r="C46" s="102" t="s">
        <v>454</v>
      </c>
      <c r="D46" s="102"/>
      <c r="E46" s="102"/>
      <c r="F46" s="102"/>
      <c r="G46" s="102"/>
      <c r="H46" s="102"/>
      <c r="I46" s="102"/>
      <c r="J46" s="4"/>
      <c r="K46" s="4"/>
      <c r="L46" s="4"/>
      <c r="M46" s="4"/>
      <c r="N46" s="4"/>
      <c r="O46" s="4"/>
    </row>
    <row r="47" spans="1:15" hidden="1" outlineLevel="1">
      <c r="A47" s="4"/>
      <c r="B47" s="4"/>
      <c r="C47" s="4"/>
      <c r="D47" s="4"/>
      <c r="E47" s="4"/>
      <c r="F47" s="4"/>
      <c r="G47" s="4"/>
      <c r="H47" s="4"/>
      <c r="I47" s="4"/>
      <c r="J47" s="4"/>
      <c r="K47" s="4"/>
      <c r="L47" s="4"/>
      <c r="M47" s="4"/>
      <c r="N47" s="4"/>
      <c r="O47" s="4"/>
    </row>
    <row r="48" spans="1:15" hidden="1" outlineLevel="1">
      <c r="A48" s="4"/>
      <c r="B48" s="4"/>
      <c r="C48" s="4"/>
      <c r="D48" s="4"/>
      <c r="E48" s="4"/>
      <c r="F48" s="4"/>
      <c r="G48" s="4"/>
      <c r="H48" s="4"/>
      <c r="I48" s="4"/>
      <c r="J48" s="4"/>
      <c r="K48" s="4"/>
      <c r="L48" s="4"/>
      <c r="M48" s="4"/>
      <c r="N48" s="4"/>
      <c r="O48" s="4"/>
    </row>
    <row r="49" spans="1:15" hidden="1" outlineLevel="1">
      <c r="A49" s="4"/>
      <c r="B49" s="4"/>
      <c r="C49" s="4"/>
      <c r="D49" s="4"/>
      <c r="E49" s="4"/>
      <c r="F49" s="4"/>
      <c r="G49" s="4"/>
      <c r="H49" s="4"/>
      <c r="I49" s="4"/>
      <c r="J49" s="4"/>
      <c r="K49" s="4"/>
      <c r="L49" s="4"/>
      <c r="M49" s="4"/>
      <c r="N49" s="4"/>
      <c r="O49" s="4"/>
    </row>
    <row r="50" spans="1:15" hidden="1" outlineLevel="1">
      <c r="A50" s="4"/>
      <c r="B50" s="4"/>
      <c r="C50" s="4"/>
      <c r="D50" s="4"/>
      <c r="E50" s="4"/>
      <c r="F50" s="4"/>
      <c r="G50" s="4"/>
      <c r="H50" s="4"/>
      <c r="I50" s="4"/>
      <c r="J50" s="4"/>
      <c r="K50" s="4"/>
      <c r="L50" s="4"/>
      <c r="M50" s="4"/>
      <c r="N50" s="4"/>
      <c r="O50" s="4"/>
    </row>
    <row r="51" spans="1:15" hidden="1" outlineLevel="1">
      <c r="A51" s="4"/>
      <c r="B51" s="4"/>
      <c r="C51" s="4"/>
      <c r="D51" s="4"/>
      <c r="E51" s="4"/>
      <c r="F51" s="4"/>
      <c r="G51" s="4"/>
      <c r="H51" s="4"/>
      <c r="I51" s="4"/>
      <c r="J51" s="4"/>
      <c r="K51" s="4"/>
      <c r="L51" s="4"/>
      <c r="M51" s="4"/>
      <c r="N51" s="4"/>
      <c r="O51" s="4"/>
    </row>
    <row r="52" spans="1:15" hidden="1" outlineLevel="1">
      <c r="A52" s="4"/>
      <c r="B52" s="4"/>
      <c r="C52" s="4"/>
      <c r="D52" s="4"/>
      <c r="E52" s="4"/>
      <c r="F52" s="4"/>
      <c r="G52" s="4"/>
      <c r="H52" s="4"/>
      <c r="I52" s="4"/>
      <c r="J52" s="4"/>
      <c r="K52" s="4"/>
      <c r="L52" s="4"/>
      <c r="M52" s="4"/>
      <c r="N52" s="4"/>
      <c r="O52" s="4"/>
    </row>
    <row r="53" spans="1:15" hidden="1" outlineLevel="1">
      <c r="A53" s="4"/>
      <c r="B53" s="4"/>
      <c r="C53" s="4"/>
      <c r="D53" s="4"/>
      <c r="E53" s="4"/>
      <c r="F53" s="4"/>
      <c r="G53" s="4"/>
      <c r="H53" s="4"/>
      <c r="I53" s="4"/>
      <c r="J53" s="4"/>
      <c r="K53" s="4"/>
      <c r="L53" s="4"/>
      <c r="M53" s="4"/>
      <c r="N53" s="4"/>
      <c r="O53" s="4"/>
    </row>
    <row r="54" spans="1:15" hidden="1" outlineLevel="1">
      <c r="A54" s="4"/>
      <c r="B54" s="4"/>
      <c r="C54" s="4"/>
      <c r="D54" s="4"/>
      <c r="E54" s="4"/>
      <c r="F54" s="4"/>
      <c r="G54" s="4"/>
      <c r="H54" s="4"/>
      <c r="I54" s="4"/>
      <c r="J54" s="4"/>
      <c r="K54" s="4"/>
      <c r="L54" s="4"/>
      <c r="M54" s="4"/>
      <c r="N54" s="4"/>
      <c r="O54" s="4"/>
    </row>
    <row r="55" spans="1:15" hidden="1" outlineLevel="1">
      <c r="A55" s="4"/>
      <c r="B55" s="4"/>
      <c r="C55" s="4"/>
      <c r="D55" s="4"/>
      <c r="E55" s="4"/>
      <c r="F55" s="4"/>
      <c r="G55" s="4"/>
      <c r="H55" s="4"/>
      <c r="I55" s="4"/>
      <c r="J55" s="4"/>
      <c r="K55" s="4"/>
      <c r="L55" s="4"/>
      <c r="M55" s="4"/>
      <c r="N55" s="4"/>
      <c r="O55" s="4"/>
    </row>
    <row r="56" spans="1:15" hidden="1" outlineLevel="1">
      <c r="A56" s="4"/>
      <c r="B56" s="4"/>
      <c r="C56" s="4"/>
      <c r="D56" s="4"/>
      <c r="E56" s="4"/>
      <c r="F56" s="4"/>
      <c r="G56" s="4"/>
      <c r="H56" s="4"/>
      <c r="I56" s="4"/>
      <c r="J56" s="4"/>
      <c r="K56" s="4"/>
      <c r="L56" s="4"/>
      <c r="M56" s="4"/>
      <c r="N56" s="4"/>
      <c r="O56" s="4"/>
    </row>
    <row r="57" spans="1:15" hidden="1" outlineLevel="1">
      <c r="A57" s="4"/>
      <c r="B57" s="4"/>
      <c r="C57" s="4"/>
      <c r="D57" s="4"/>
      <c r="E57" s="4"/>
      <c r="F57" s="4"/>
      <c r="G57" s="4"/>
      <c r="H57" s="4"/>
      <c r="I57" s="4"/>
      <c r="J57" s="4"/>
      <c r="K57" s="4"/>
      <c r="L57" s="4"/>
      <c r="M57" s="4"/>
      <c r="N57" s="4"/>
      <c r="O57" s="4"/>
    </row>
    <row r="58" spans="1:15" hidden="1" outlineLevel="1">
      <c r="A58" s="4"/>
      <c r="B58" s="4"/>
      <c r="C58" s="4"/>
      <c r="D58" s="4"/>
      <c r="E58" s="4"/>
      <c r="F58" s="4"/>
      <c r="G58" s="4"/>
      <c r="H58" s="4"/>
      <c r="I58" s="4"/>
      <c r="J58" s="4"/>
      <c r="K58" s="4"/>
      <c r="L58" s="4"/>
      <c r="M58" s="4"/>
      <c r="N58" s="4"/>
      <c r="O58" s="4"/>
    </row>
    <row r="59" spans="1:15" hidden="1" outlineLevel="1">
      <c r="A59" s="4"/>
      <c r="B59" s="4"/>
      <c r="C59" s="4"/>
      <c r="D59" s="4"/>
      <c r="E59" s="4"/>
      <c r="F59" s="4"/>
      <c r="G59" s="4"/>
      <c r="H59" s="4"/>
      <c r="I59" s="4"/>
      <c r="J59" s="4"/>
      <c r="K59" s="4"/>
      <c r="L59" s="4"/>
      <c r="M59" s="4"/>
      <c r="N59" s="4"/>
      <c r="O59" s="4"/>
    </row>
    <row r="60" spans="1:15" hidden="1" outlineLevel="1">
      <c r="A60" s="4"/>
      <c r="B60" s="4"/>
      <c r="C60" s="4"/>
      <c r="D60" s="4"/>
      <c r="E60" s="4"/>
      <c r="F60" s="4"/>
      <c r="G60" s="4"/>
      <c r="H60" s="4"/>
      <c r="I60" s="4"/>
      <c r="J60" s="4"/>
      <c r="K60" s="4"/>
      <c r="L60" s="4"/>
      <c r="M60" s="4"/>
      <c r="N60" s="4"/>
      <c r="O60" s="4"/>
    </row>
    <row r="61" spans="1:15" hidden="1" outlineLevel="1">
      <c r="A61" s="4"/>
      <c r="B61" s="4"/>
      <c r="C61" s="4"/>
      <c r="D61" s="4"/>
      <c r="E61" s="4"/>
      <c r="F61" s="4"/>
      <c r="G61" s="4"/>
      <c r="H61" s="4"/>
      <c r="I61" s="4"/>
      <c r="J61" s="4"/>
      <c r="K61" s="4"/>
      <c r="L61" s="4"/>
      <c r="M61" s="4"/>
      <c r="N61" s="4"/>
      <c r="O61" s="4"/>
    </row>
    <row r="62" spans="1:15" hidden="1" outlineLevel="1">
      <c r="A62" s="4"/>
      <c r="B62" s="4"/>
      <c r="C62" s="4"/>
      <c r="D62" s="4"/>
      <c r="E62" s="4"/>
      <c r="F62" s="4"/>
      <c r="G62" s="4"/>
      <c r="H62" s="4"/>
      <c r="I62" s="4"/>
      <c r="J62" s="4"/>
      <c r="K62" s="4"/>
      <c r="L62" s="4"/>
      <c r="M62" s="4"/>
      <c r="N62" s="4"/>
      <c r="O62" s="4"/>
    </row>
    <row r="63" spans="1:15" hidden="1" outlineLevel="1">
      <c r="A63" s="4"/>
      <c r="B63" s="4"/>
      <c r="C63" s="4"/>
      <c r="D63" s="4"/>
      <c r="E63" s="4"/>
      <c r="F63" s="4"/>
      <c r="G63" s="4"/>
      <c r="H63" s="4"/>
      <c r="I63" s="4"/>
      <c r="J63" s="4"/>
      <c r="K63" s="4"/>
      <c r="L63" s="4"/>
      <c r="M63" s="4"/>
      <c r="N63" s="4"/>
      <c r="O63" s="4"/>
    </row>
    <row r="64" spans="1:15" hidden="1" outlineLevel="1">
      <c r="A64" s="4"/>
      <c r="B64" s="4"/>
      <c r="C64" s="4"/>
      <c r="D64" s="4"/>
      <c r="E64" s="4"/>
      <c r="F64" s="4"/>
      <c r="G64" s="4"/>
      <c r="H64" s="4"/>
      <c r="I64" s="4"/>
      <c r="J64" s="4"/>
      <c r="K64" s="4"/>
      <c r="L64" s="4"/>
      <c r="M64" s="4"/>
      <c r="N64" s="4"/>
      <c r="O64" s="4"/>
    </row>
    <row r="65" spans="1:15" hidden="1" outlineLevel="1">
      <c r="A65" s="4"/>
      <c r="B65" s="4"/>
      <c r="C65" s="4"/>
      <c r="D65" s="4"/>
      <c r="E65" s="4"/>
      <c r="F65" s="4"/>
      <c r="G65" s="4"/>
      <c r="H65" s="4"/>
      <c r="I65" s="4"/>
      <c r="J65" s="4"/>
      <c r="K65" s="4"/>
      <c r="L65" s="4"/>
      <c r="M65" s="4"/>
      <c r="N65" s="4"/>
      <c r="O65" s="4"/>
    </row>
    <row r="66" spans="1:15" hidden="1" outlineLevel="1">
      <c r="A66" s="4"/>
      <c r="B66" s="4"/>
      <c r="C66" s="4"/>
      <c r="D66" s="4"/>
      <c r="E66" s="4"/>
      <c r="F66" s="4"/>
      <c r="G66" s="4"/>
      <c r="H66" s="4"/>
      <c r="I66" s="4"/>
      <c r="J66" s="4"/>
      <c r="K66" s="4"/>
      <c r="L66" s="4"/>
      <c r="M66" s="4"/>
      <c r="N66" s="4"/>
      <c r="O66" s="4"/>
    </row>
    <row r="67" spans="1:15" hidden="1" outlineLevel="1">
      <c r="A67" s="4"/>
      <c r="B67" s="4"/>
      <c r="C67" s="4"/>
      <c r="D67" s="4"/>
      <c r="E67" s="4"/>
      <c r="F67" s="4"/>
      <c r="G67" s="4"/>
      <c r="H67" s="4"/>
      <c r="I67" s="4"/>
      <c r="J67" s="4"/>
      <c r="K67" s="4"/>
      <c r="L67" s="4"/>
      <c r="M67" s="4"/>
      <c r="N67" s="4"/>
      <c r="O67" s="4"/>
    </row>
    <row r="68" spans="1:15" hidden="1" outlineLevel="1">
      <c r="A68" s="4"/>
      <c r="B68" s="4"/>
      <c r="C68" s="4"/>
      <c r="D68" s="4"/>
      <c r="E68" s="4"/>
      <c r="F68" s="4"/>
      <c r="G68" s="4"/>
      <c r="H68" s="4"/>
      <c r="I68" s="4"/>
      <c r="J68" s="4"/>
      <c r="K68" s="4"/>
      <c r="L68" s="4"/>
      <c r="M68" s="4"/>
      <c r="N68" s="4"/>
      <c r="O68" s="4"/>
    </row>
    <row r="69" spans="1:15" hidden="1" outlineLevel="1">
      <c r="A69" s="4"/>
      <c r="B69" s="4"/>
      <c r="C69" s="4"/>
      <c r="D69" s="4"/>
      <c r="E69" s="4"/>
      <c r="F69" s="4"/>
      <c r="G69" s="4"/>
      <c r="H69" s="4"/>
      <c r="I69" s="4"/>
      <c r="J69" s="4"/>
      <c r="K69" s="4"/>
      <c r="L69" s="4"/>
      <c r="M69" s="4"/>
      <c r="N69" s="4"/>
      <c r="O69" s="4"/>
    </row>
    <row r="70" spans="1:15" hidden="1" outlineLevel="1">
      <c r="A70" s="4"/>
      <c r="B70" s="4"/>
      <c r="C70" s="4"/>
      <c r="D70" s="4"/>
      <c r="E70" s="4"/>
      <c r="F70" s="4"/>
      <c r="G70" s="4"/>
      <c r="H70" s="4"/>
      <c r="I70" s="4"/>
      <c r="J70" s="4"/>
      <c r="K70" s="4"/>
      <c r="L70" s="4"/>
      <c r="M70" s="4"/>
      <c r="N70" s="4"/>
      <c r="O70" s="4"/>
    </row>
    <row r="71" spans="1:15" hidden="1" outlineLevel="1">
      <c r="A71" s="4"/>
      <c r="B71" s="4"/>
      <c r="C71" s="4"/>
      <c r="D71" s="4"/>
      <c r="E71" s="4"/>
      <c r="F71" s="4"/>
      <c r="G71" s="4"/>
      <c r="H71" s="4"/>
      <c r="I71" s="4"/>
      <c r="J71" s="4"/>
      <c r="K71" s="4"/>
      <c r="L71" s="4"/>
      <c r="M71" s="4"/>
      <c r="N71" s="4"/>
      <c r="O71" s="4"/>
    </row>
    <row r="72" spans="1:15" hidden="1" outlineLevel="1">
      <c r="A72" s="4"/>
      <c r="B72" s="4"/>
      <c r="C72" s="4"/>
      <c r="D72" s="4"/>
      <c r="E72" s="4"/>
      <c r="F72" s="4"/>
      <c r="G72" s="4"/>
      <c r="H72" s="4"/>
      <c r="I72" s="4"/>
      <c r="J72" s="4"/>
      <c r="K72" s="4"/>
      <c r="L72" s="4"/>
      <c r="M72" s="4"/>
      <c r="N72" s="4"/>
      <c r="O72" s="4"/>
    </row>
    <row r="73" spans="1:15" hidden="1" outlineLevel="1">
      <c r="A73" s="4"/>
      <c r="B73" s="4"/>
      <c r="C73" s="4"/>
      <c r="D73" s="4"/>
      <c r="E73" s="4"/>
      <c r="F73" s="4"/>
      <c r="G73" s="4"/>
      <c r="H73" s="4"/>
      <c r="I73" s="4"/>
      <c r="J73" s="4"/>
      <c r="K73" s="4"/>
      <c r="L73" s="4"/>
      <c r="M73" s="4"/>
      <c r="N73" s="4"/>
      <c r="O73" s="4"/>
    </row>
    <row r="74" spans="1:15" collapsed="1">
      <c r="A74" s="4"/>
      <c r="B74" s="4"/>
      <c r="C74" s="4"/>
      <c r="D74" s="4"/>
      <c r="E74" s="4"/>
      <c r="F74" s="4"/>
      <c r="G74" s="4"/>
      <c r="H74" s="4"/>
      <c r="I74" s="4"/>
      <c r="J74" s="4"/>
      <c r="K74" s="4"/>
      <c r="L74" s="4"/>
      <c r="M74" s="4"/>
      <c r="N74" s="4"/>
      <c r="O74" s="4"/>
    </row>
    <row r="75" spans="1:15" ht="21">
      <c r="A75" s="102"/>
      <c r="B75" s="102"/>
      <c r="C75" s="102" t="s">
        <v>455</v>
      </c>
      <c r="D75" s="102"/>
      <c r="E75" s="102"/>
      <c r="F75" s="102"/>
      <c r="G75" s="102"/>
      <c r="H75" s="102"/>
      <c r="I75" s="102"/>
      <c r="J75" s="4"/>
      <c r="K75" s="4"/>
      <c r="L75" s="4"/>
      <c r="M75" s="4"/>
      <c r="N75" s="4"/>
      <c r="O75" s="4"/>
    </row>
    <row r="76" spans="1:15" hidden="1" outlineLevel="1">
      <c r="A76" s="4"/>
      <c r="B76" s="4"/>
      <c r="C76" s="4"/>
      <c r="D76" s="4"/>
      <c r="E76" s="4"/>
      <c r="F76" s="4"/>
      <c r="G76" s="4"/>
      <c r="H76" s="4"/>
      <c r="I76" s="4"/>
      <c r="J76" s="4"/>
      <c r="K76" s="4"/>
      <c r="L76" s="4"/>
      <c r="M76" s="4"/>
      <c r="N76" s="4"/>
      <c r="O76" s="4"/>
    </row>
    <row r="77" spans="1:15" hidden="1" outlineLevel="1">
      <c r="A77" s="4"/>
      <c r="B77" s="4"/>
      <c r="C77" s="4"/>
      <c r="D77" s="4"/>
      <c r="E77" s="4"/>
      <c r="F77" s="4"/>
      <c r="G77" s="4"/>
      <c r="H77" s="4"/>
      <c r="I77" s="4"/>
      <c r="J77" s="4"/>
      <c r="K77" s="4"/>
      <c r="L77" s="4"/>
      <c r="M77" s="4"/>
      <c r="N77" s="4"/>
      <c r="O77" s="4"/>
    </row>
    <row r="78" spans="1:15" hidden="1" outlineLevel="1">
      <c r="A78" s="4"/>
      <c r="B78" s="4"/>
      <c r="C78" s="4"/>
      <c r="D78" s="4"/>
      <c r="E78" s="4"/>
      <c r="F78" s="4"/>
      <c r="G78" s="4"/>
      <c r="H78" s="4"/>
      <c r="I78" s="4"/>
      <c r="J78" s="4"/>
      <c r="K78" s="4"/>
      <c r="L78" s="4"/>
      <c r="M78" s="4"/>
      <c r="N78" s="4"/>
      <c r="O78" s="4"/>
    </row>
    <row r="79" spans="1:15" hidden="1" outlineLevel="1">
      <c r="A79" s="4"/>
      <c r="B79" s="4"/>
      <c r="C79" s="4"/>
      <c r="D79" s="4"/>
      <c r="E79" s="4"/>
      <c r="F79" s="4"/>
      <c r="G79" s="4"/>
      <c r="H79" s="4"/>
      <c r="I79" s="4"/>
      <c r="J79" s="4"/>
      <c r="K79" s="4"/>
      <c r="L79" s="4"/>
      <c r="M79" s="4"/>
      <c r="N79" s="4"/>
      <c r="O79" s="4"/>
    </row>
    <row r="80" spans="1:15" hidden="1" outlineLevel="1">
      <c r="A80" s="4"/>
      <c r="B80" s="4"/>
      <c r="C80" s="4"/>
      <c r="D80" s="4"/>
      <c r="E80" s="4"/>
      <c r="F80" s="4"/>
      <c r="G80" s="4"/>
      <c r="H80" s="4"/>
      <c r="I80" s="4"/>
      <c r="J80" s="4"/>
      <c r="K80" s="4"/>
      <c r="L80" s="4"/>
      <c r="M80" s="4"/>
      <c r="N80" s="4"/>
      <c r="O80" s="4"/>
    </row>
    <row r="81" spans="1:15" hidden="1" outlineLevel="1">
      <c r="A81" s="4"/>
      <c r="B81" s="4"/>
      <c r="C81" s="4"/>
      <c r="D81" s="4"/>
      <c r="E81" s="4"/>
      <c r="F81" s="4"/>
      <c r="G81" s="4"/>
      <c r="H81" s="4"/>
      <c r="I81" s="4"/>
      <c r="J81" s="4"/>
      <c r="K81" s="4"/>
      <c r="L81" s="4"/>
      <c r="M81" s="4"/>
      <c r="N81" s="4"/>
      <c r="O81" s="4"/>
    </row>
    <row r="82" spans="1:15" hidden="1" outlineLevel="1">
      <c r="A82" s="4"/>
      <c r="B82" s="4"/>
      <c r="C82" s="4"/>
      <c r="D82" s="4"/>
      <c r="E82" s="4"/>
      <c r="F82" s="4"/>
      <c r="G82" s="4"/>
      <c r="H82" s="4"/>
      <c r="I82" s="4"/>
      <c r="J82" s="4"/>
      <c r="K82" s="4"/>
      <c r="L82" s="4"/>
      <c r="M82" s="4"/>
      <c r="N82" s="4"/>
      <c r="O82" s="4"/>
    </row>
    <row r="83" spans="1:15" hidden="1" outlineLevel="1">
      <c r="A83" s="4"/>
      <c r="B83" s="4"/>
      <c r="C83" s="4"/>
      <c r="D83" s="4"/>
      <c r="E83" s="4"/>
      <c r="F83" s="4"/>
      <c r="G83" s="4"/>
      <c r="H83" s="4"/>
      <c r="I83" s="4"/>
      <c r="J83" s="4"/>
      <c r="K83" s="4"/>
      <c r="L83" s="4"/>
      <c r="M83" s="4"/>
      <c r="N83" s="4"/>
      <c r="O83" s="4"/>
    </row>
    <row r="84" spans="1:15" hidden="1" outlineLevel="1">
      <c r="A84" s="4"/>
      <c r="B84" s="4"/>
      <c r="C84" s="4"/>
      <c r="D84" s="4"/>
      <c r="E84" s="4"/>
      <c r="F84" s="4"/>
      <c r="G84" s="4"/>
      <c r="H84" s="4"/>
      <c r="I84" s="4"/>
      <c r="J84" s="4"/>
      <c r="K84" s="4"/>
      <c r="L84" s="4"/>
      <c r="M84" s="4"/>
      <c r="N84" s="4"/>
      <c r="O84" s="4"/>
    </row>
    <row r="85" spans="1:15" hidden="1" outlineLevel="1">
      <c r="A85" s="4"/>
      <c r="B85" s="4"/>
      <c r="C85" s="4"/>
      <c r="D85" s="4"/>
      <c r="E85" s="4"/>
      <c r="F85" s="4"/>
      <c r="G85" s="4"/>
      <c r="H85" s="4"/>
      <c r="I85" s="4"/>
      <c r="J85" s="4"/>
      <c r="K85" s="4"/>
      <c r="L85" s="4"/>
      <c r="M85" s="4"/>
      <c r="N85" s="4"/>
      <c r="O85" s="4"/>
    </row>
    <row r="86" spans="1:15" hidden="1" outlineLevel="1">
      <c r="A86" s="4"/>
      <c r="B86" s="4"/>
      <c r="C86" s="4"/>
      <c r="D86" s="4"/>
      <c r="E86" s="4"/>
      <c r="F86" s="4"/>
      <c r="G86" s="4"/>
      <c r="H86" s="4"/>
      <c r="I86" s="4"/>
      <c r="J86" s="4"/>
      <c r="K86" s="4"/>
      <c r="L86" s="4"/>
      <c r="M86" s="4"/>
      <c r="N86" s="4"/>
      <c r="O86" s="4"/>
    </row>
    <row r="87" spans="1:15" hidden="1" outlineLevel="1">
      <c r="A87" s="4"/>
      <c r="B87" s="4"/>
      <c r="C87" s="4"/>
      <c r="D87" s="4"/>
      <c r="E87" s="4"/>
      <c r="F87" s="4"/>
      <c r="G87" s="4"/>
      <c r="H87" s="4"/>
      <c r="I87" s="4"/>
      <c r="J87" s="4"/>
      <c r="K87" s="4"/>
      <c r="L87" s="4"/>
      <c r="M87" s="4"/>
      <c r="N87" s="4"/>
      <c r="O87" s="4"/>
    </row>
    <row r="88" spans="1:15" hidden="1" outlineLevel="1">
      <c r="A88" s="4"/>
      <c r="B88" s="4"/>
      <c r="C88" s="4"/>
      <c r="D88" s="4"/>
      <c r="E88" s="4"/>
      <c r="F88" s="4"/>
      <c r="G88" s="4"/>
      <c r="H88" s="4"/>
      <c r="I88" s="4"/>
      <c r="J88" s="4"/>
      <c r="K88" s="4"/>
      <c r="L88" s="4"/>
      <c r="M88" s="4"/>
      <c r="N88" s="4"/>
      <c r="O88" s="4"/>
    </row>
    <row r="89" spans="1:15" hidden="1" outlineLevel="1">
      <c r="A89" s="4"/>
      <c r="B89" s="4"/>
      <c r="C89" s="4"/>
      <c r="D89" s="4"/>
      <c r="E89" s="4"/>
      <c r="F89" s="4"/>
      <c r="G89" s="4"/>
      <c r="H89" s="4"/>
      <c r="I89" s="4"/>
      <c r="J89" s="4"/>
      <c r="K89" s="4"/>
      <c r="L89" s="4"/>
      <c r="M89" s="4"/>
      <c r="N89" s="4"/>
      <c r="O89" s="4"/>
    </row>
    <row r="90" spans="1:15" hidden="1" outlineLevel="1">
      <c r="A90" s="4"/>
      <c r="B90" s="4"/>
      <c r="C90" s="4"/>
      <c r="D90" s="4"/>
      <c r="E90" s="4"/>
      <c r="F90" s="4"/>
      <c r="G90" s="4"/>
      <c r="H90" s="4"/>
      <c r="I90" s="4"/>
      <c r="J90" s="4"/>
      <c r="K90" s="4"/>
      <c r="L90" s="4"/>
      <c r="M90" s="4"/>
      <c r="N90" s="4"/>
      <c r="O90" s="4"/>
    </row>
    <row r="91" spans="1:15" hidden="1" outlineLevel="1">
      <c r="A91" s="4"/>
      <c r="B91" s="4"/>
      <c r="C91" s="4"/>
      <c r="D91" s="4"/>
      <c r="E91" s="4"/>
      <c r="F91" s="4"/>
      <c r="G91" s="4"/>
      <c r="H91" s="4"/>
      <c r="I91" s="4"/>
      <c r="J91" s="4"/>
      <c r="K91" s="4"/>
      <c r="L91" s="4"/>
      <c r="M91" s="4"/>
      <c r="N91" s="4"/>
      <c r="O91" s="4"/>
    </row>
    <row r="92" spans="1:15" hidden="1" outlineLevel="1">
      <c r="A92" s="4"/>
      <c r="B92" s="4"/>
      <c r="C92" s="4"/>
      <c r="D92" s="4"/>
      <c r="E92" s="4"/>
      <c r="F92" s="4"/>
      <c r="G92" s="4"/>
      <c r="H92" s="4"/>
      <c r="I92" s="4"/>
      <c r="J92" s="4"/>
      <c r="K92" s="4"/>
      <c r="L92" s="4"/>
      <c r="M92" s="4"/>
      <c r="N92" s="4"/>
      <c r="O92" s="4"/>
    </row>
    <row r="93" spans="1:15" hidden="1" outlineLevel="1">
      <c r="A93" s="4"/>
      <c r="B93" s="4"/>
      <c r="C93" s="4"/>
      <c r="D93" s="4"/>
      <c r="E93" s="4"/>
      <c r="F93" s="4"/>
      <c r="G93" s="4"/>
      <c r="H93" s="4"/>
      <c r="I93" s="4"/>
      <c r="J93" s="4"/>
      <c r="K93" s="4"/>
      <c r="L93" s="4"/>
      <c r="M93" s="4"/>
      <c r="N93" s="4"/>
      <c r="O93" s="4"/>
    </row>
    <row r="94" spans="1:15" hidden="1" outlineLevel="1">
      <c r="A94" s="4"/>
      <c r="B94" s="4"/>
      <c r="C94" s="4"/>
      <c r="D94" s="4"/>
      <c r="E94" s="4"/>
      <c r="F94" s="4"/>
      <c r="G94" s="4"/>
      <c r="H94" s="4"/>
      <c r="I94" s="4"/>
      <c r="J94" s="4"/>
      <c r="K94" s="4"/>
      <c r="L94" s="4"/>
      <c r="M94" s="4"/>
      <c r="N94" s="4"/>
      <c r="O94" s="4"/>
    </row>
    <row r="95" spans="1:15" hidden="1" outlineLevel="1">
      <c r="A95" s="4"/>
      <c r="B95" s="4"/>
      <c r="C95" s="4"/>
      <c r="D95" s="4"/>
      <c r="E95" s="4"/>
      <c r="F95" s="4"/>
      <c r="G95" s="4"/>
      <c r="H95" s="4"/>
      <c r="I95" s="4"/>
      <c r="J95" s="4"/>
      <c r="K95" s="4"/>
      <c r="L95" s="4"/>
      <c r="M95" s="4"/>
      <c r="N95" s="4"/>
      <c r="O95" s="4"/>
    </row>
    <row r="96" spans="1:15" hidden="1" outlineLevel="1">
      <c r="A96" s="4"/>
      <c r="B96" s="4"/>
      <c r="C96" s="4"/>
      <c r="D96" s="4"/>
      <c r="E96" s="4"/>
      <c r="F96" s="4"/>
      <c r="G96" s="4"/>
      <c r="H96" s="4"/>
      <c r="I96" s="4"/>
      <c r="J96" s="4"/>
      <c r="K96" s="4"/>
      <c r="L96" s="4"/>
      <c r="M96" s="4"/>
      <c r="N96" s="4"/>
      <c r="O96" s="4"/>
    </row>
    <row r="97" spans="1:15" hidden="1" outlineLevel="1">
      <c r="A97" s="4"/>
      <c r="B97" s="4"/>
      <c r="C97" s="4"/>
      <c r="D97" s="4"/>
      <c r="E97" s="4"/>
      <c r="F97" s="4"/>
      <c r="G97" s="4"/>
      <c r="H97" s="4"/>
      <c r="I97" s="4"/>
      <c r="J97" s="4"/>
      <c r="K97" s="4"/>
      <c r="L97" s="4"/>
      <c r="M97" s="4"/>
      <c r="N97" s="4"/>
      <c r="O97" s="4"/>
    </row>
    <row r="98" spans="1:15" hidden="1" outlineLevel="1">
      <c r="A98" s="4"/>
      <c r="B98" s="4"/>
      <c r="C98" s="4"/>
      <c r="D98" s="4"/>
      <c r="E98" s="4"/>
      <c r="F98" s="4"/>
      <c r="G98" s="4"/>
      <c r="H98" s="4"/>
      <c r="I98" s="4"/>
      <c r="J98" s="4"/>
      <c r="K98" s="4"/>
      <c r="L98" s="4"/>
      <c r="M98" s="4"/>
      <c r="N98" s="4"/>
      <c r="O98" s="4"/>
    </row>
    <row r="99" spans="1:15" hidden="1" outlineLevel="1">
      <c r="A99" s="4"/>
      <c r="B99" s="4"/>
      <c r="C99" s="4"/>
      <c r="D99" s="4"/>
      <c r="E99" s="4"/>
      <c r="F99" s="4"/>
      <c r="G99" s="4"/>
      <c r="H99" s="4"/>
      <c r="I99" s="4"/>
      <c r="J99" s="4"/>
      <c r="K99" s="4"/>
      <c r="L99" s="4"/>
      <c r="M99" s="4"/>
      <c r="N99" s="4"/>
      <c r="O99" s="4"/>
    </row>
    <row r="100" spans="1:15" hidden="1" outlineLevel="1">
      <c r="A100" s="4"/>
      <c r="B100" s="4"/>
      <c r="C100" s="4"/>
      <c r="D100" s="4"/>
      <c r="E100" s="4"/>
      <c r="F100" s="4"/>
      <c r="G100" s="4"/>
      <c r="H100" s="4"/>
      <c r="I100" s="4"/>
      <c r="J100" s="4"/>
      <c r="K100" s="4"/>
      <c r="L100" s="4"/>
      <c r="M100" s="4"/>
      <c r="N100" s="4"/>
      <c r="O100" s="4"/>
    </row>
    <row r="101" spans="1:15" hidden="1" outlineLevel="1">
      <c r="A101" s="4"/>
      <c r="B101" s="4"/>
      <c r="C101" s="4"/>
      <c r="D101" s="4"/>
      <c r="E101" s="4"/>
      <c r="F101" s="4"/>
      <c r="G101" s="4"/>
      <c r="H101" s="4"/>
      <c r="I101" s="4"/>
      <c r="J101" s="4"/>
      <c r="K101" s="4"/>
      <c r="L101" s="4"/>
      <c r="M101" s="4"/>
      <c r="N101" s="4"/>
      <c r="O101" s="4"/>
    </row>
    <row r="102" spans="1:15" hidden="1" outlineLevel="1">
      <c r="A102" s="4"/>
      <c r="B102" s="4"/>
      <c r="C102" s="4"/>
      <c r="D102" s="4"/>
      <c r="E102" s="4"/>
      <c r="F102" s="4"/>
      <c r="G102" s="4"/>
      <c r="H102" s="4"/>
      <c r="I102" s="4"/>
      <c r="J102" s="4"/>
      <c r="K102" s="4"/>
      <c r="L102" s="4"/>
      <c r="M102" s="4"/>
      <c r="N102" s="4"/>
      <c r="O102" s="4"/>
    </row>
    <row r="103" spans="1:15" hidden="1" outlineLevel="1">
      <c r="A103" s="4"/>
      <c r="B103" s="4"/>
      <c r="C103" s="4"/>
      <c r="D103" s="4"/>
      <c r="E103" s="4"/>
      <c r="F103" s="4"/>
      <c r="G103" s="4"/>
      <c r="H103" s="4"/>
      <c r="I103" s="4"/>
      <c r="J103" s="4"/>
      <c r="K103" s="4"/>
      <c r="L103" s="4"/>
      <c r="M103" s="4"/>
      <c r="N103" s="4"/>
      <c r="O103" s="4"/>
    </row>
    <row r="104" spans="1:15" hidden="1" outlineLevel="1">
      <c r="A104" s="4"/>
      <c r="B104" s="4"/>
      <c r="C104" s="4"/>
      <c r="D104" s="4"/>
      <c r="E104" s="4"/>
      <c r="F104" s="4"/>
      <c r="G104" s="4"/>
      <c r="H104" s="4"/>
      <c r="I104" s="4"/>
      <c r="J104" s="4"/>
      <c r="K104" s="4"/>
      <c r="L104" s="4"/>
      <c r="M104" s="4"/>
      <c r="N104" s="4"/>
      <c r="O104" s="4"/>
    </row>
    <row r="105" spans="1:15" hidden="1" outlineLevel="1">
      <c r="A105" s="4"/>
      <c r="B105" s="4"/>
      <c r="C105" s="4"/>
      <c r="D105" s="4"/>
      <c r="E105" s="4"/>
      <c r="F105" s="4"/>
      <c r="G105" s="4"/>
      <c r="H105" s="4"/>
      <c r="I105" s="4"/>
      <c r="J105" s="4"/>
      <c r="K105" s="4"/>
      <c r="L105" s="4"/>
      <c r="M105" s="4"/>
      <c r="N105" s="4"/>
      <c r="O105" s="4"/>
    </row>
    <row r="106" spans="1:15" hidden="1" outlineLevel="1">
      <c r="A106" s="4"/>
      <c r="B106" s="4"/>
      <c r="C106" s="4"/>
      <c r="D106" s="4"/>
      <c r="E106" s="4"/>
      <c r="F106" s="4"/>
      <c r="G106" s="4"/>
      <c r="H106" s="4"/>
      <c r="I106" s="4"/>
      <c r="J106" s="4"/>
      <c r="K106" s="4"/>
      <c r="L106" s="4"/>
      <c r="M106" s="4"/>
      <c r="N106" s="4"/>
      <c r="O106" s="4"/>
    </row>
    <row r="107" spans="1:15" hidden="1" outlineLevel="1">
      <c r="A107" s="4"/>
      <c r="B107" s="4"/>
      <c r="C107" s="4"/>
      <c r="D107" s="4"/>
      <c r="E107" s="4"/>
      <c r="F107" s="4"/>
      <c r="G107" s="4"/>
      <c r="H107" s="4"/>
      <c r="I107" s="4"/>
      <c r="J107" s="4"/>
      <c r="K107" s="4"/>
      <c r="L107" s="4"/>
      <c r="M107" s="4"/>
      <c r="N107" s="4"/>
      <c r="O107" s="4"/>
    </row>
    <row r="108" spans="1:15" hidden="1" outlineLevel="1">
      <c r="A108" s="4"/>
      <c r="B108" s="4"/>
      <c r="C108" s="4"/>
      <c r="D108" s="4"/>
      <c r="E108" s="4"/>
      <c r="F108" s="4"/>
      <c r="G108" s="4"/>
      <c r="H108" s="4"/>
      <c r="I108" s="4"/>
      <c r="J108" s="4"/>
      <c r="K108" s="4"/>
      <c r="L108" s="4"/>
      <c r="M108" s="4"/>
      <c r="N108" s="4"/>
      <c r="O108" s="4"/>
    </row>
    <row r="109" spans="1:15" hidden="1" outlineLevel="1">
      <c r="A109" s="4"/>
      <c r="B109" s="4"/>
      <c r="C109" s="4"/>
      <c r="D109" s="4"/>
      <c r="E109" s="4"/>
      <c r="F109" s="4"/>
      <c r="G109" s="4"/>
      <c r="H109" s="4"/>
      <c r="I109" s="4"/>
      <c r="J109" s="4"/>
      <c r="K109" s="4"/>
      <c r="L109" s="4"/>
      <c r="M109" s="4"/>
      <c r="N109" s="4"/>
      <c r="O109" s="4"/>
    </row>
    <row r="110" spans="1:15" hidden="1" outlineLevel="1">
      <c r="A110" s="4"/>
      <c r="B110" s="4"/>
      <c r="C110" s="4"/>
      <c r="D110" s="4"/>
      <c r="E110" s="4"/>
      <c r="F110" s="4"/>
      <c r="G110" s="4"/>
      <c r="H110" s="4"/>
      <c r="I110" s="4"/>
      <c r="J110" s="4"/>
      <c r="K110" s="4"/>
      <c r="L110" s="4"/>
      <c r="M110" s="4"/>
      <c r="N110" s="4"/>
      <c r="O110" s="4"/>
    </row>
    <row r="111" spans="1:15" hidden="1" outlineLevel="1">
      <c r="A111" s="4"/>
      <c r="B111" s="4"/>
      <c r="C111" s="4"/>
      <c r="D111" s="4"/>
      <c r="E111" s="4"/>
      <c r="F111" s="4"/>
      <c r="G111" s="4"/>
      <c r="H111" s="4"/>
      <c r="I111" s="4"/>
      <c r="J111" s="4"/>
      <c r="K111" s="4"/>
      <c r="L111" s="4"/>
      <c r="M111" s="4"/>
      <c r="N111" s="4"/>
      <c r="O111" s="4"/>
    </row>
    <row r="112" spans="1:15" hidden="1" outlineLevel="1">
      <c r="A112" s="4"/>
      <c r="B112" s="4"/>
      <c r="C112" s="4"/>
      <c r="D112" s="4"/>
      <c r="E112" s="4"/>
      <c r="F112" s="4"/>
      <c r="G112" s="4"/>
      <c r="H112" s="4"/>
      <c r="I112" s="4"/>
      <c r="J112" s="4"/>
      <c r="K112" s="4"/>
      <c r="L112" s="4"/>
      <c r="M112" s="4"/>
      <c r="N112" s="4"/>
      <c r="O112" s="4"/>
    </row>
    <row r="113" spans="1:15" hidden="1" outlineLevel="1">
      <c r="A113" s="4"/>
      <c r="B113" s="4"/>
      <c r="C113" s="4"/>
      <c r="D113" s="4"/>
      <c r="E113" s="4"/>
      <c r="F113" s="4"/>
      <c r="G113" s="4"/>
      <c r="H113" s="4"/>
      <c r="I113" s="4"/>
      <c r="J113" s="4"/>
      <c r="K113" s="4"/>
      <c r="L113" s="4"/>
      <c r="M113" s="4"/>
      <c r="N113" s="4"/>
      <c r="O113" s="4"/>
    </row>
    <row r="114" spans="1:15" hidden="1" outlineLevel="1">
      <c r="A114" s="4"/>
      <c r="B114" s="4"/>
      <c r="C114" s="4"/>
      <c r="D114" s="4"/>
      <c r="E114" s="4"/>
      <c r="F114" s="4"/>
      <c r="G114" s="4"/>
      <c r="H114" s="4"/>
      <c r="I114" s="4"/>
      <c r="J114" s="4"/>
      <c r="K114" s="4"/>
      <c r="L114" s="4"/>
      <c r="M114" s="4"/>
      <c r="N114" s="4"/>
      <c r="O114" s="4"/>
    </row>
    <row r="115" spans="1:15" hidden="1" outlineLevel="1">
      <c r="A115" s="4"/>
      <c r="B115" s="4"/>
      <c r="C115" s="4"/>
      <c r="D115" s="4"/>
      <c r="E115" s="4"/>
      <c r="F115" s="4"/>
      <c r="G115" s="4"/>
      <c r="H115" s="4"/>
      <c r="I115" s="4"/>
      <c r="J115" s="4"/>
      <c r="K115" s="4"/>
      <c r="L115" s="4"/>
      <c r="M115" s="4"/>
      <c r="N115" s="4"/>
      <c r="O115" s="4"/>
    </row>
    <row r="116" spans="1:15" hidden="1" outlineLevel="1">
      <c r="A116" s="4"/>
      <c r="B116" s="4"/>
      <c r="C116" s="4"/>
      <c r="D116" s="4"/>
      <c r="E116" s="4"/>
      <c r="F116" s="4"/>
      <c r="G116" s="4"/>
      <c r="H116" s="4"/>
      <c r="I116" s="4"/>
      <c r="J116" s="4"/>
      <c r="K116" s="4"/>
      <c r="L116" s="4"/>
      <c r="M116" s="4"/>
      <c r="N116" s="4"/>
      <c r="O116" s="4"/>
    </row>
    <row r="117" spans="1:15" collapsed="1">
      <c r="A117" s="4"/>
      <c r="B117" s="4"/>
      <c r="C117" s="4"/>
      <c r="D117" s="4"/>
      <c r="E117" s="4"/>
      <c r="F117" s="4"/>
      <c r="G117" s="4"/>
      <c r="H117" s="4"/>
      <c r="I117" s="4"/>
      <c r="J117" s="4"/>
      <c r="K117" s="4"/>
      <c r="L117" s="4"/>
      <c r="M117" s="4"/>
      <c r="N117" s="4"/>
      <c r="O117" s="4"/>
    </row>
    <row r="118" spans="1:15" ht="18.600000000000001">
      <c r="A118" s="102"/>
      <c r="B118" s="102"/>
      <c r="C118" s="102" t="s">
        <v>456</v>
      </c>
      <c r="D118" s="102"/>
      <c r="E118" s="102"/>
      <c r="F118" s="102"/>
      <c r="G118" s="102"/>
      <c r="H118" s="102"/>
      <c r="I118" s="102"/>
      <c r="J118" s="4"/>
      <c r="K118" s="4"/>
      <c r="L118" s="4"/>
      <c r="M118" s="4"/>
      <c r="N118" s="4"/>
      <c r="O118" s="4"/>
    </row>
    <row r="119" spans="1:15" hidden="1" outlineLevel="1">
      <c r="A119" s="4"/>
      <c r="B119" s="4"/>
      <c r="C119" s="4"/>
      <c r="D119" s="4"/>
      <c r="E119" s="4"/>
      <c r="F119" s="4"/>
      <c r="G119" s="4"/>
      <c r="H119" s="4"/>
      <c r="I119" s="4"/>
      <c r="J119" s="4"/>
      <c r="K119" s="4"/>
      <c r="L119" s="4"/>
      <c r="M119" s="4"/>
      <c r="N119" s="4"/>
      <c r="O119" s="4"/>
    </row>
    <row r="120" spans="1:15" hidden="1" outlineLevel="1">
      <c r="A120" s="4"/>
      <c r="B120" s="4"/>
      <c r="C120" s="4"/>
      <c r="D120" s="4"/>
      <c r="E120" s="4"/>
      <c r="F120" s="4"/>
      <c r="G120" s="4"/>
      <c r="H120" s="4"/>
      <c r="I120" s="4"/>
      <c r="J120" s="4"/>
      <c r="K120" s="4"/>
      <c r="L120" s="4"/>
      <c r="M120" s="4"/>
      <c r="N120" s="4"/>
      <c r="O120" s="4"/>
    </row>
    <row r="121" spans="1:15" hidden="1" outlineLevel="1">
      <c r="A121" s="4"/>
      <c r="B121" s="4"/>
      <c r="C121" s="4"/>
      <c r="D121" s="4"/>
      <c r="E121" s="4"/>
      <c r="F121" s="4"/>
      <c r="G121" s="4"/>
      <c r="H121" s="4"/>
      <c r="I121" s="4"/>
      <c r="J121" s="4"/>
      <c r="K121" s="4"/>
      <c r="L121" s="4"/>
      <c r="M121" s="4"/>
      <c r="N121" s="4"/>
      <c r="O121" s="4"/>
    </row>
    <row r="122" spans="1:15" hidden="1" outlineLevel="1">
      <c r="A122" s="4"/>
      <c r="B122" s="4"/>
      <c r="C122" s="4"/>
      <c r="D122" s="4"/>
      <c r="E122" s="4"/>
      <c r="F122" s="4"/>
      <c r="G122" s="4"/>
      <c r="H122" s="4"/>
      <c r="I122" s="4"/>
      <c r="J122" s="4"/>
      <c r="K122" s="4"/>
      <c r="L122" s="4"/>
      <c r="M122" s="4"/>
      <c r="N122" s="4"/>
      <c r="O122" s="4"/>
    </row>
    <row r="123" spans="1:15" hidden="1" outlineLevel="1">
      <c r="A123" s="4"/>
      <c r="B123" s="4"/>
      <c r="C123" s="4"/>
      <c r="D123" s="4"/>
      <c r="E123" s="4"/>
      <c r="F123" s="4"/>
      <c r="G123" s="4"/>
      <c r="H123" s="4"/>
      <c r="I123" s="4"/>
      <c r="J123" s="4"/>
      <c r="K123" s="4"/>
      <c r="L123" s="4"/>
      <c r="M123" s="4"/>
      <c r="N123" s="4"/>
      <c r="O123" s="4"/>
    </row>
    <row r="124" spans="1:15" hidden="1" outlineLevel="1">
      <c r="A124" s="4"/>
      <c r="B124" s="4"/>
      <c r="C124" s="4"/>
      <c r="D124" s="4"/>
      <c r="E124" s="4"/>
      <c r="F124" s="4"/>
      <c r="G124" s="4"/>
      <c r="H124" s="4"/>
      <c r="I124" s="4"/>
      <c r="J124" s="4"/>
      <c r="K124" s="4"/>
      <c r="L124" s="4"/>
      <c r="M124" s="4"/>
      <c r="N124" s="4"/>
      <c r="O124" s="4"/>
    </row>
    <row r="125" spans="1:15" hidden="1" outlineLevel="1">
      <c r="A125" s="4"/>
      <c r="B125" s="4"/>
      <c r="C125" s="4"/>
      <c r="D125" s="4"/>
      <c r="E125" s="4"/>
      <c r="F125" s="4"/>
      <c r="G125" s="4"/>
      <c r="H125" s="4"/>
      <c r="I125" s="4"/>
      <c r="J125" s="4"/>
      <c r="K125" s="4"/>
      <c r="L125" s="4"/>
      <c r="M125" s="4"/>
      <c r="N125" s="4"/>
      <c r="O125" s="4"/>
    </row>
    <row r="126" spans="1:15" hidden="1" outlineLevel="1">
      <c r="A126" s="4"/>
      <c r="B126" s="4"/>
      <c r="C126" s="4"/>
      <c r="D126" s="4"/>
      <c r="E126" s="4"/>
      <c r="F126" s="4"/>
      <c r="G126" s="4"/>
      <c r="H126" s="4"/>
      <c r="I126" s="4"/>
      <c r="J126" s="4"/>
      <c r="K126" s="4"/>
      <c r="L126" s="4"/>
      <c r="M126" s="4"/>
      <c r="N126" s="4"/>
      <c r="O126" s="4"/>
    </row>
    <row r="127" spans="1:15" hidden="1" outlineLevel="1">
      <c r="A127" s="4"/>
      <c r="B127" s="4"/>
      <c r="C127" s="4"/>
      <c r="D127" s="4"/>
      <c r="E127" s="4"/>
      <c r="F127" s="4"/>
      <c r="G127" s="4"/>
      <c r="H127" s="4"/>
      <c r="I127" s="4"/>
      <c r="J127" s="4"/>
      <c r="K127" s="4"/>
      <c r="L127" s="4"/>
      <c r="M127" s="4"/>
      <c r="N127" s="4"/>
      <c r="O127" s="4"/>
    </row>
    <row r="128" spans="1:15" hidden="1" outlineLevel="1">
      <c r="A128" s="4"/>
      <c r="B128" s="4"/>
      <c r="C128" s="4"/>
      <c r="D128" s="4"/>
      <c r="E128" s="4"/>
      <c r="F128" s="4"/>
      <c r="G128" s="4"/>
      <c r="H128" s="4"/>
      <c r="I128" s="4"/>
      <c r="J128" s="4"/>
      <c r="K128" s="4"/>
      <c r="L128" s="4"/>
      <c r="M128" s="4"/>
      <c r="N128" s="4"/>
      <c r="O128" s="4"/>
    </row>
    <row r="129" spans="1:15" hidden="1" outlineLevel="1">
      <c r="A129" s="4"/>
      <c r="B129" s="4"/>
      <c r="C129" s="4"/>
      <c r="D129" s="4"/>
      <c r="E129" s="4"/>
      <c r="F129" s="4"/>
      <c r="G129" s="4"/>
      <c r="H129" s="4"/>
      <c r="I129" s="4"/>
      <c r="J129" s="4"/>
      <c r="K129" s="4"/>
      <c r="L129" s="4"/>
      <c r="M129" s="4"/>
      <c r="N129" s="4"/>
      <c r="O129" s="4"/>
    </row>
    <row r="130" spans="1:15" hidden="1" outlineLevel="1">
      <c r="A130" s="4"/>
      <c r="B130" s="4"/>
      <c r="C130" s="4"/>
      <c r="D130" s="4"/>
      <c r="E130" s="4"/>
      <c r="F130" s="4"/>
      <c r="G130" s="4"/>
      <c r="H130" s="4"/>
      <c r="I130" s="4"/>
      <c r="J130" s="4"/>
      <c r="K130" s="4"/>
      <c r="L130" s="4"/>
      <c r="M130" s="4"/>
      <c r="N130" s="4"/>
      <c r="O130" s="4"/>
    </row>
    <row r="131" spans="1:15" hidden="1" outlineLevel="1">
      <c r="A131" s="4"/>
      <c r="B131" s="4"/>
      <c r="C131" s="4"/>
      <c r="D131" s="4"/>
      <c r="E131" s="4"/>
      <c r="F131" s="4"/>
      <c r="G131" s="4"/>
      <c r="H131" s="4"/>
      <c r="I131" s="4"/>
      <c r="J131" s="4"/>
      <c r="K131" s="4"/>
      <c r="L131" s="4"/>
      <c r="M131" s="4"/>
      <c r="N131" s="4"/>
      <c r="O131" s="4"/>
    </row>
    <row r="132" spans="1:15" hidden="1" outlineLevel="1">
      <c r="A132" s="4"/>
      <c r="B132" s="4"/>
      <c r="C132" s="4"/>
      <c r="D132" s="4"/>
      <c r="E132" s="4"/>
      <c r="F132" s="4"/>
      <c r="G132" s="4"/>
      <c r="H132" s="4"/>
      <c r="I132" s="4"/>
      <c r="J132" s="4"/>
      <c r="K132" s="4"/>
      <c r="L132" s="4"/>
      <c r="M132" s="4"/>
      <c r="N132" s="4"/>
      <c r="O132" s="4"/>
    </row>
    <row r="133" spans="1:15" hidden="1" outlineLevel="1">
      <c r="A133" s="4"/>
      <c r="B133" s="4"/>
      <c r="C133" s="4"/>
      <c r="D133" s="4"/>
      <c r="E133" s="4"/>
      <c r="F133" s="4"/>
      <c r="G133" s="4"/>
      <c r="H133" s="4"/>
      <c r="I133" s="4"/>
      <c r="J133" s="4"/>
      <c r="K133" s="4"/>
      <c r="L133" s="4"/>
      <c r="M133" s="4"/>
      <c r="N133" s="4"/>
      <c r="O133" s="4"/>
    </row>
    <row r="134" spans="1:15" hidden="1" outlineLevel="1">
      <c r="A134" s="4"/>
      <c r="B134" s="4"/>
      <c r="C134" s="4"/>
      <c r="D134" s="4"/>
      <c r="E134" s="4"/>
      <c r="F134" s="4"/>
      <c r="G134" s="4"/>
      <c r="H134" s="4"/>
      <c r="I134" s="4"/>
      <c r="J134" s="4"/>
      <c r="K134" s="4"/>
      <c r="L134" s="4"/>
      <c r="M134" s="4"/>
      <c r="N134" s="4"/>
      <c r="O134" s="4"/>
    </row>
    <row r="135" spans="1:15" hidden="1" outlineLevel="1">
      <c r="A135" s="4"/>
      <c r="B135" s="4"/>
      <c r="C135" s="4"/>
      <c r="D135" s="4"/>
      <c r="E135" s="4"/>
      <c r="F135" s="4"/>
      <c r="G135" s="4"/>
      <c r="H135" s="4"/>
      <c r="I135" s="4"/>
      <c r="J135" s="4"/>
      <c r="K135" s="4"/>
      <c r="L135" s="4"/>
      <c r="M135" s="4"/>
      <c r="N135" s="4"/>
      <c r="O135" s="4"/>
    </row>
    <row r="136" spans="1:15" hidden="1" outlineLevel="1">
      <c r="A136" s="4"/>
      <c r="B136" s="4"/>
      <c r="C136" s="4"/>
      <c r="D136" s="4"/>
      <c r="E136" s="4"/>
      <c r="F136" s="4"/>
      <c r="G136" s="4"/>
      <c r="H136" s="4"/>
      <c r="I136" s="4"/>
      <c r="J136" s="4"/>
      <c r="K136" s="4"/>
      <c r="L136" s="4"/>
      <c r="M136" s="4"/>
      <c r="N136" s="4"/>
      <c r="O136" s="4"/>
    </row>
    <row r="137" spans="1:15" hidden="1" outlineLevel="1">
      <c r="A137" s="4"/>
      <c r="B137" s="4"/>
      <c r="C137" s="4"/>
      <c r="D137" s="4"/>
      <c r="E137" s="4"/>
      <c r="F137" s="4"/>
      <c r="G137" s="4"/>
      <c r="H137" s="4"/>
      <c r="I137" s="4"/>
      <c r="J137" s="4"/>
      <c r="K137" s="4"/>
      <c r="L137" s="4"/>
      <c r="M137" s="4"/>
      <c r="N137" s="4"/>
      <c r="O137" s="4"/>
    </row>
    <row r="138" spans="1:15" hidden="1" outlineLevel="1">
      <c r="A138" s="4"/>
      <c r="B138" s="4"/>
      <c r="C138" s="4"/>
      <c r="D138" s="4"/>
      <c r="E138" s="4"/>
      <c r="F138" s="4"/>
      <c r="G138" s="4"/>
      <c r="H138" s="4"/>
      <c r="I138" s="4"/>
      <c r="J138" s="4"/>
      <c r="K138" s="4"/>
      <c r="L138" s="4"/>
      <c r="M138" s="4"/>
      <c r="N138" s="4"/>
      <c r="O138" s="4"/>
    </row>
    <row r="139" spans="1:15" hidden="1" outlineLevel="1">
      <c r="A139" s="4"/>
      <c r="B139" s="4"/>
      <c r="C139" s="4"/>
      <c r="D139" s="4"/>
      <c r="E139" s="4"/>
      <c r="F139" s="4"/>
      <c r="G139" s="4"/>
      <c r="H139" s="4"/>
      <c r="I139" s="4"/>
      <c r="J139" s="4"/>
      <c r="K139" s="4"/>
      <c r="L139" s="4"/>
      <c r="M139" s="4"/>
      <c r="N139" s="4"/>
      <c r="O139" s="4"/>
    </row>
    <row r="140" spans="1:15" hidden="1" outlineLevel="1">
      <c r="A140" s="4"/>
      <c r="B140" s="4"/>
      <c r="C140" s="4"/>
      <c r="D140" s="4"/>
      <c r="E140" s="4"/>
      <c r="F140" s="4"/>
      <c r="G140" s="4"/>
      <c r="H140" s="4"/>
      <c r="I140" s="4"/>
      <c r="J140" s="4"/>
      <c r="K140" s="4"/>
      <c r="L140" s="4"/>
      <c r="M140" s="4"/>
      <c r="N140" s="4"/>
      <c r="O140" s="4"/>
    </row>
    <row r="141" spans="1:15" hidden="1" outlineLevel="1">
      <c r="A141" s="4"/>
      <c r="B141" s="4"/>
      <c r="C141" s="4"/>
      <c r="D141" s="4"/>
      <c r="E141" s="4"/>
      <c r="F141" s="4"/>
      <c r="G141" s="4"/>
      <c r="H141" s="4"/>
      <c r="I141" s="4"/>
      <c r="J141" s="4"/>
      <c r="K141" s="4"/>
      <c r="L141" s="4"/>
      <c r="M141" s="4"/>
      <c r="N141" s="4"/>
      <c r="O141" s="4"/>
    </row>
    <row r="142" spans="1:15" hidden="1" outlineLevel="1">
      <c r="A142" s="4"/>
      <c r="B142" s="4"/>
      <c r="C142" s="4"/>
      <c r="D142" s="4"/>
      <c r="E142" s="4"/>
      <c r="F142" s="4"/>
      <c r="G142" s="4"/>
      <c r="H142" s="4"/>
      <c r="I142" s="4"/>
      <c r="J142" s="4"/>
      <c r="K142" s="4"/>
      <c r="L142" s="4"/>
      <c r="M142" s="4"/>
      <c r="N142" s="4"/>
      <c r="O142" s="4"/>
    </row>
    <row r="143" spans="1:15" hidden="1" outlineLevel="1">
      <c r="A143" s="4"/>
      <c r="B143" s="4"/>
      <c r="C143" s="4"/>
      <c r="D143" s="4"/>
      <c r="E143" s="4"/>
      <c r="F143" s="4"/>
      <c r="G143" s="4"/>
      <c r="H143" s="4"/>
      <c r="I143" s="4"/>
      <c r="J143" s="4"/>
      <c r="K143" s="4"/>
      <c r="L143" s="4"/>
      <c r="M143" s="4"/>
      <c r="N143" s="4"/>
      <c r="O143" s="4"/>
    </row>
    <row r="144" spans="1:15" hidden="1" outlineLevel="1">
      <c r="A144" s="4"/>
      <c r="B144" s="4"/>
      <c r="C144" s="4"/>
      <c r="D144" s="4"/>
      <c r="E144" s="4"/>
      <c r="F144" s="4"/>
      <c r="G144" s="4"/>
      <c r="H144" s="4"/>
      <c r="I144" s="4"/>
      <c r="J144" s="4"/>
      <c r="K144" s="4"/>
      <c r="L144" s="4"/>
      <c r="M144" s="4"/>
      <c r="N144" s="4"/>
      <c r="O144" s="4"/>
    </row>
    <row r="145" spans="1:15" hidden="1" outlineLevel="1">
      <c r="A145" s="4"/>
      <c r="B145" s="4"/>
      <c r="C145" s="4"/>
      <c r="D145" s="4"/>
      <c r="E145" s="4"/>
      <c r="F145" s="4"/>
      <c r="G145" s="4"/>
      <c r="H145" s="4"/>
      <c r="I145" s="4"/>
      <c r="J145" s="4"/>
      <c r="K145" s="4"/>
      <c r="L145" s="4"/>
      <c r="M145" s="4"/>
      <c r="N145" s="4"/>
      <c r="O145" s="4"/>
    </row>
    <row r="146" spans="1:15" hidden="1" outlineLevel="1">
      <c r="A146" s="4"/>
      <c r="B146" s="4"/>
      <c r="C146" s="4"/>
      <c r="D146" s="4"/>
      <c r="E146" s="4"/>
      <c r="F146" s="4"/>
      <c r="G146" s="4"/>
      <c r="H146" s="4"/>
      <c r="I146" s="4"/>
      <c r="J146" s="4"/>
      <c r="K146" s="4"/>
      <c r="L146" s="4"/>
      <c r="M146" s="4"/>
      <c r="N146" s="4"/>
      <c r="O146" s="4"/>
    </row>
    <row r="147" spans="1:15" hidden="1" outlineLevel="1">
      <c r="A147" s="4"/>
      <c r="B147" s="4"/>
      <c r="C147" s="4"/>
      <c r="D147" s="4"/>
      <c r="E147" s="4"/>
      <c r="F147" s="4"/>
      <c r="G147" s="4"/>
      <c r="H147" s="4"/>
      <c r="I147" s="4"/>
      <c r="J147" s="4"/>
      <c r="K147" s="4"/>
      <c r="L147" s="4"/>
      <c r="M147" s="4"/>
      <c r="N147" s="4"/>
      <c r="O147" s="4"/>
    </row>
    <row r="148" spans="1:15" hidden="1" outlineLevel="1">
      <c r="A148" s="4"/>
      <c r="B148" s="4"/>
      <c r="C148" s="4"/>
      <c r="D148" s="4"/>
      <c r="E148" s="4"/>
      <c r="F148" s="4"/>
      <c r="G148" s="4"/>
      <c r="H148" s="4"/>
      <c r="I148" s="4"/>
      <c r="J148" s="4"/>
      <c r="K148" s="4"/>
      <c r="L148" s="4"/>
      <c r="M148" s="4"/>
      <c r="N148" s="4"/>
      <c r="O148" s="4"/>
    </row>
    <row r="149" spans="1:15" hidden="1" outlineLevel="1">
      <c r="A149" s="4"/>
      <c r="B149" s="4"/>
      <c r="C149" s="4"/>
      <c r="D149" s="4"/>
      <c r="E149" s="4"/>
      <c r="F149" s="4"/>
      <c r="G149" s="4"/>
      <c r="H149" s="4"/>
      <c r="I149" s="4"/>
      <c r="J149" s="4"/>
      <c r="K149" s="4"/>
      <c r="L149" s="4"/>
      <c r="M149" s="4"/>
      <c r="N149" s="4"/>
      <c r="O149" s="4"/>
    </row>
    <row r="150" spans="1:15" hidden="1" outlineLevel="1">
      <c r="A150" s="4"/>
      <c r="B150" s="4"/>
      <c r="C150" s="4"/>
      <c r="D150" s="4"/>
      <c r="E150" s="4"/>
      <c r="F150" s="4"/>
      <c r="G150" s="4"/>
      <c r="H150" s="4"/>
      <c r="I150" s="4"/>
      <c r="J150" s="4"/>
      <c r="K150" s="4"/>
      <c r="L150" s="4"/>
      <c r="M150" s="4"/>
      <c r="N150" s="4"/>
      <c r="O150" s="4"/>
    </row>
    <row r="151" spans="1:15" collapsed="1">
      <c r="A151" s="4"/>
      <c r="B151" s="4"/>
      <c r="C151" s="4"/>
      <c r="D151" s="4"/>
      <c r="E151" s="4"/>
      <c r="F151" s="4"/>
      <c r="G151" s="4"/>
      <c r="H151" s="4"/>
      <c r="I151" s="4"/>
      <c r="J151" s="4"/>
      <c r="K151" s="4"/>
      <c r="L151" s="4"/>
      <c r="M151" s="4"/>
      <c r="N151" s="4"/>
      <c r="O151" s="4"/>
    </row>
    <row r="152" spans="1:15" ht="18.600000000000001">
      <c r="A152" s="102"/>
      <c r="B152" s="102"/>
      <c r="C152" s="102" t="s">
        <v>457</v>
      </c>
      <c r="D152" s="102"/>
      <c r="E152" s="102"/>
      <c r="F152" s="102"/>
      <c r="G152" s="102"/>
      <c r="H152" s="102"/>
      <c r="I152" s="102"/>
      <c r="J152" s="4"/>
      <c r="K152" s="4"/>
      <c r="L152" s="4"/>
      <c r="M152" s="4"/>
      <c r="N152" s="4"/>
      <c r="O152" s="4"/>
    </row>
    <row r="153" spans="1:15" ht="18.600000000000001" hidden="1" outlineLevel="1">
      <c r="A153" s="102"/>
      <c r="B153" s="102"/>
      <c r="C153" s="102"/>
      <c r="D153" s="102"/>
      <c r="E153" s="102"/>
      <c r="F153" s="102"/>
      <c r="G153" s="102"/>
      <c r="H153" s="102"/>
      <c r="I153" s="102"/>
      <c r="J153" s="4"/>
      <c r="K153" s="4"/>
      <c r="L153" s="4"/>
      <c r="M153" s="4"/>
      <c r="N153" s="4"/>
      <c r="O153" s="4"/>
    </row>
    <row r="154" spans="1:15" ht="18.600000000000001" hidden="1" outlineLevel="1">
      <c r="A154" s="102"/>
      <c r="B154" s="102"/>
      <c r="C154" s="102"/>
      <c r="D154" s="102"/>
      <c r="E154" s="102"/>
      <c r="F154" s="102"/>
      <c r="G154" s="102"/>
      <c r="H154" s="102"/>
      <c r="I154" s="102"/>
      <c r="J154" s="4"/>
      <c r="K154" s="4"/>
      <c r="L154" s="4"/>
      <c r="M154" s="4"/>
      <c r="N154" s="4"/>
      <c r="O154" s="4"/>
    </row>
    <row r="155" spans="1:15" ht="18.600000000000001" hidden="1" outlineLevel="1">
      <c r="A155" s="102"/>
      <c r="B155" s="102"/>
      <c r="C155" s="102"/>
      <c r="D155" s="102"/>
      <c r="E155" s="102"/>
      <c r="F155" s="102"/>
      <c r="G155" s="102"/>
      <c r="H155" s="102"/>
      <c r="I155" s="102"/>
      <c r="J155" s="4"/>
      <c r="K155" s="4"/>
      <c r="L155" s="4"/>
      <c r="M155" s="4"/>
      <c r="N155" s="4"/>
      <c r="O155" s="4"/>
    </row>
    <row r="156" spans="1:15" ht="18.600000000000001" hidden="1" outlineLevel="1">
      <c r="A156" s="102"/>
      <c r="B156" s="102"/>
      <c r="C156" s="102"/>
      <c r="D156" s="102"/>
      <c r="E156" s="102"/>
      <c r="F156" s="102"/>
      <c r="G156" s="102"/>
      <c r="H156" s="102"/>
      <c r="I156" s="102"/>
      <c r="J156" s="4"/>
      <c r="K156" s="4"/>
      <c r="L156" s="4"/>
      <c r="M156" s="4"/>
      <c r="N156" s="4"/>
      <c r="O156" s="4"/>
    </row>
    <row r="157" spans="1:15" ht="18.600000000000001" hidden="1" outlineLevel="1">
      <c r="A157" s="102"/>
      <c r="B157" s="102"/>
      <c r="C157" s="102"/>
      <c r="D157" s="102"/>
      <c r="E157" s="102"/>
      <c r="F157" s="102"/>
      <c r="G157" s="102"/>
      <c r="H157" s="102"/>
      <c r="I157" s="102"/>
      <c r="J157" s="4"/>
      <c r="K157" s="4"/>
      <c r="L157" s="4"/>
      <c r="M157" s="4"/>
      <c r="N157" s="4"/>
      <c r="O157" s="4"/>
    </row>
    <row r="158" spans="1:15" ht="18.600000000000001" hidden="1" outlineLevel="1">
      <c r="A158" s="102"/>
      <c r="B158" s="102"/>
      <c r="C158" s="102"/>
      <c r="D158" s="102"/>
      <c r="E158" s="102"/>
      <c r="F158" s="102"/>
      <c r="G158" s="102"/>
      <c r="H158" s="102"/>
      <c r="I158" s="102"/>
      <c r="J158" s="4"/>
      <c r="K158" s="4"/>
      <c r="L158" s="4"/>
      <c r="M158" s="4"/>
      <c r="N158" s="4"/>
      <c r="O158" s="4"/>
    </row>
    <row r="159" spans="1:15" ht="18.600000000000001" hidden="1" outlineLevel="1">
      <c r="A159" s="102"/>
      <c r="B159" s="102"/>
      <c r="C159" s="102"/>
      <c r="D159" s="102"/>
      <c r="E159" s="102"/>
      <c r="F159" s="102"/>
      <c r="G159" s="102"/>
      <c r="H159" s="102"/>
      <c r="I159" s="102"/>
      <c r="J159" s="4"/>
      <c r="K159" s="4"/>
      <c r="L159" s="4"/>
      <c r="M159" s="4"/>
      <c r="N159" s="4"/>
      <c r="O159" s="4"/>
    </row>
    <row r="160" spans="1:15" ht="18.600000000000001" hidden="1" outlineLevel="1">
      <c r="A160" s="102"/>
      <c r="B160" s="102"/>
      <c r="C160" s="102"/>
      <c r="D160" s="102"/>
      <c r="E160" s="102"/>
      <c r="F160" s="102"/>
      <c r="G160" s="102"/>
      <c r="H160" s="102"/>
      <c r="I160" s="102"/>
      <c r="J160" s="4"/>
      <c r="K160" s="4"/>
      <c r="L160" s="4"/>
      <c r="M160" s="4"/>
      <c r="N160" s="4"/>
      <c r="O160" s="4"/>
    </row>
    <row r="161" spans="1:15" ht="18.600000000000001" hidden="1" outlineLevel="1">
      <c r="A161" s="102"/>
      <c r="B161" s="102"/>
      <c r="C161" s="102"/>
      <c r="D161" s="102"/>
      <c r="E161" s="102"/>
      <c r="F161" s="102"/>
      <c r="G161" s="102"/>
      <c r="H161" s="102"/>
      <c r="I161" s="102"/>
      <c r="J161" s="4"/>
      <c r="K161" s="4"/>
      <c r="L161" s="4"/>
      <c r="M161" s="4"/>
      <c r="N161" s="4"/>
      <c r="O161" s="4"/>
    </row>
    <row r="162" spans="1:15" ht="18.600000000000001" hidden="1" outlineLevel="1">
      <c r="A162" s="102"/>
      <c r="B162" s="102"/>
      <c r="C162" s="102"/>
      <c r="D162" s="102"/>
      <c r="E162" s="102"/>
      <c r="F162" s="102"/>
      <c r="G162" s="102"/>
      <c r="H162" s="102"/>
      <c r="I162" s="102"/>
      <c r="J162" s="4"/>
      <c r="K162" s="4"/>
      <c r="L162" s="4"/>
      <c r="M162" s="4"/>
      <c r="N162" s="4"/>
      <c r="O162" s="4"/>
    </row>
    <row r="163" spans="1:15" ht="18.600000000000001" hidden="1" outlineLevel="1">
      <c r="A163" s="102"/>
      <c r="B163" s="102"/>
      <c r="C163" s="102"/>
      <c r="D163" s="102"/>
      <c r="E163" s="102"/>
      <c r="F163" s="102"/>
      <c r="G163" s="102"/>
      <c r="H163" s="102"/>
      <c r="I163" s="102"/>
      <c r="J163" s="4"/>
      <c r="K163" s="4"/>
      <c r="L163" s="4"/>
      <c r="M163" s="4"/>
      <c r="N163" s="4"/>
      <c r="O163" s="4"/>
    </row>
    <row r="164" spans="1:15" ht="18.600000000000001" hidden="1" outlineLevel="1">
      <c r="A164" s="102"/>
      <c r="B164" s="102"/>
      <c r="C164" s="102"/>
      <c r="D164" s="102"/>
      <c r="E164" s="102"/>
      <c r="F164" s="102"/>
      <c r="G164" s="102"/>
      <c r="H164" s="102"/>
      <c r="I164" s="102"/>
      <c r="J164" s="4"/>
      <c r="K164" s="4"/>
      <c r="L164" s="4"/>
      <c r="M164" s="4"/>
      <c r="N164" s="4"/>
      <c r="O164" s="4"/>
    </row>
    <row r="165" spans="1:15" ht="18.600000000000001" hidden="1" outlineLevel="1">
      <c r="A165" s="102"/>
      <c r="B165" s="102"/>
      <c r="C165" s="102"/>
      <c r="D165" s="102"/>
      <c r="E165" s="102"/>
      <c r="F165" s="102"/>
      <c r="G165" s="102"/>
      <c r="H165" s="102"/>
      <c r="I165" s="102"/>
      <c r="J165" s="4"/>
      <c r="K165" s="4"/>
      <c r="L165" s="4"/>
      <c r="M165" s="4"/>
      <c r="N165" s="4"/>
      <c r="O165" s="4"/>
    </row>
    <row r="166" spans="1:15" ht="18.600000000000001" hidden="1" outlineLevel="1">
      <c r="A166" s="102"/>
      <c r="B166" s="102"/>
      <c r="C166" s="102"/>
      <c r="D166" s="102"/>
      <c r="E166" s="102"/>
      <c r="F166" s="102"/>
      <c r="G166" s="102"/>
      <c r="H166" s="102"/>
      <c r="I166" s="102"/>
      <c r="J166" s="4"/>
      <c r="K166" s="4"/>
      <c r="L166" s="4"/>
      <c r="M166" s="4"/>
      <c r="N166" s="4"/>
      <c r="O166" s="4"/>
    </row>
    <row r="167" spans="1:15" ht="18.600000000000001" hidden="1" outlineLevel="1">
      <c r="A167" s="102"/>
      <c r="B167" s="102"/>
      <c r="C167" s="102"/>
      <c r="D167" s="102"/>
      <c r="E167" s="102"/>
      <c r="F167" s="102"/>
      <c r="G167" s="102"/>
      <c r="H167" s="102"/>
      <c r="I167" s="102"/>
      <c r="J167" s="4"/>
      <c r="K167" s="4"/>
      <c r="L167" s="4"/>
      <c r="M167" s="4"/>
      <c r="N167" s="4"/>
      <c r="O167" s="4"/>
    </row>
    <row r="168" spans="1:15" ht="18.600000000000001" hidden="1" outlineLevel="1">
      <c r="A168" s="102"/>
      <c r="B168" s="102"/>
      <c r="C168" s="102"/>
      <c r="D168" s="102"/>
      <c r="E168" s="102"/>
      <c r="F168" s="102"/>
      <c r="G168" s="102"/>
      <c r="H168" s="102"/>
      <c r="I168" s="102"/>
      <c r="J168" s="4"/>
      <c r="K168" s="4"/>
      <c r="L168" s="4"/>
      <c r="M168" s="4"/>
      <c r="N168" s="4"/>
      <c r="O168" s="4"/>
    </row>
    <row r="169" spans="1:15" ht="18.600000000000001" hidden="1" outlineLevel="1">
      <c r="A169" s="102"/>
      <c r="B169" s="102"/>
      <c r="C169" s="102"/>
      <c r="D169" s="102"/>
      <c r="E169" s="102"/>
      <c r="F169" s="102"/>
      <c r="G169" s="102"/>
      <c r="H169" s="102"/>
      <c r="I169" s="102"/>
      <c r="J169" s="4"/>
      <c r="K169" s="4"/>
      <c r="L169" s="4"/>
      <c r="M169" s="4"/>
      <c r="N169" s="4"/>
      <c r="O169" s="4"/>
    </row>
    <row r="170" spans="1:15" ht="18.600000000000001" hidden="1" outlineLevel="1">
      <c r="A170" s="102"/>
      <c r="B170" s="102"/>
      <c r="C170" s="102"/>
      <c r="D170" s="102"/>
      <c r="E170" s="102"/>
      <c r="F170" s="102"/>
      <c r="G170" s="102"/>
      <c r="H170" s="102"/>
      <c r="I170" s="102"/>
      <c r="J170" s="4"/>
      <c r="K170" s="4"/>
      <c r="L170" s="4"/>
      <c r="M170" s="4"/>
      <c r="N170" s="4"/>
      <c r="O170" s="4"/>
    </row>
    <row r="171" spans="1:15" hidden="1" outlineLevel="1">
      <c r="A171" s="4"/>
      <c r="B171" s="4"/>
      <c r="C171" s="4"/>
      <c r="D171" s="4"/>
      <c r="E171" s="4"/>
      <c r="F171" s="4"/>
      <c r="G171" s="4"/>
      <c r="H171" s="4"/>
      <c r="I171" s="4"/>
      <c r="J171" s="4"/>
      <c r="K171" s="4"/>
      <c r="L171" s="4"/>
      <c r="M171" s="4"/>
      <c r="N171" s="4"/>
      <c r="O171" s="4"/>
    </row>
    <row r="172" spans="1:15" hidden="1" outlineLevel="1">
      <c r="A172" s="4"/>
      <c r="B172" s="4"/>
      <c r="C172" s="4"/>
      <c r="D172" s="4"/>
      <c r="E172" s="4"/>
      <c r="F172" s="4"/>
      <c r="G172" s="4"/>
      <c r="H172" s="4"/>
      <c r="I172" s="4"/>
      <c r="J172" s="4"/>
      <c r="K172" s="4"/>
      <c r="L172" s="4"/>
      <c r="M172" s="4"/>
      <c r="N172" s="4"/>
      <c r="O172" s="4"/>
    </row>
    <row r="173" spans="1:15" hidden="1" outlineLevel="1">
      <c r="A173" s="4"/>
      <c r="B173" s="4"/>
      <c r="C173" s="4"/>
      <c r="D173" s="4"/>
      <c r="E173" s="4"/>
      <c r="F173" s="4"/>
      <c r="G173" s="4"/>
      <c r="H173" s="4"/>
      <c r="I173" s="4"/>
      <c r="J173" s="4"/>
      <c r="K173" s="4"/>
      <c r="L173" s="4"/>
      <c r="M173" s="4"/>
      <c r="N173" s="4"/>
      <c r="O173" s="4"/>
    </row>
    <row r="174" spans="1:15" hidden="1" outlineLevel="1">
      <c r="A174" s="4"/>
      <c r="B174" s="4"/>
      <c r="C174" s="4"/>
      <c r="D174" s="4"/>
      <c r="E174" s="4"/>
      <c r="F174" s="4"/>
      <c r="G174" s="4"/>
      <c r="H174" s="4"/>
      <c r="I174" s="4"/>
      <c r="J174" s="4"/>
      <c r="K174" s="4"/>
      <c r="L174" s="4"/>
      <c r="M174" s="4"/>
      <c r="N174" s="4"/>
      <c r="O174" s="4"/>
    </row>
    <row r="175" spans="1:15" hidden="1" outlineLevel="1">
      <c r="A175" s="4"/>
      <c r="B175" s="4"/>
      <c r="C175" s="4"/>
      <c r="D175" s="4"/>
      <c r="E175" s="4"/>
      <c r="F175" s="4"/>
      <c r="G175" s="4"/>
      <c r="H175" s="4"/>
      <c r="I175" s="4"/>
      <c r="J175" s="4"/>
      <c r="K175" s="4"/>
      <c r="L175" s="4"/>
      <c r="M175" s="4"/>
      <c r="N175" s="4"/>
      <c r="O175" s="4"/>
    </row>
    <row r="176" spans="1:15" collapsed="1">
      <c r="A176" s="4"/>
      <c r="B176" s="4"/>
      <c r="C176" s="4"/>
      <c r="D176" s="4"/>
      <c r="E176" s="4"/>
      <c r="F176" s="4"/>
      <c r="G176" s="4"/>
      <c r="H176" s="4"/>
      <c r="I176" s="4"/>
      <c r="J176" s="4"/>
      <c r="K176" s="4"/>
      <c r="L176" s="4"/>
      <c r="M176" s="4"/>
      <c r="N176" s="4"/>
      <c r="O176" s="4"/>
    </row>
    <row r="177" spans="1:15" ht="21">
      <c r="A177" s="102"/>
      <c r="B177" s="102"/>
      <c r="C177" s="102" t="s">
        <v>458</v>
      </c>
      <c r="D177" s="102"/>
      <c r="E177" s="102"/>
      <c r="F177" s="102"/>
      <c r="G177" s="102"/>
      <c r="H177" s="102"/>
      <c r="I177" s="102"/>
      <c r="J177" s="4"/>
      <c r="K177" s="4"/>
      <c r="L177" s="4"/>
      <c r="M177" s="4"/>
      <c r="N177" s="4"/>
      <c r="O177" s="4"/>
    </row>
    <row r="178" spans="1:15" hidden="1" outlineLevel="1">
      <c r="A178" s="4"/>
      <c r="B178" s="4"/>
      <c r="C178" s="4"/>
      <c r="D178" s="4"/>
      <c r="E178" s="4"/>
      <c r="F178" s="4"/>
      <c r="G178" s="4"/>
      <c r="H178" s="4"/>
      <c r="I178" s="4"/>
      <c r="J178" s="4"/>
      <c r="K178" s="4"/>
      <c r="L178" s="4"/>
      <c r="M178" s="4"/>
      <c r="N178" s="4"/>
      <c r="O178" s="4"/>
    </row>
    <row r="179" spans="1:15" hidden="1" outlineLevel="1">
      <c r="A179" s="4"/>
      <c r="B179" s="4"/>
      <c r="C179" s="4"/>
      <c r="D179" s="4"/>
      <c r="E179" s="4"/>
      <c r="F179" s="4"/>
      <c r="G179" s="4"/>
      <c r="H179" s="4"/>
      <c r="I179" s="4"/>
      <c r="J179" s="4"/>
      <c r="K179" s="4"/>
      <c r="L179" s="4"/>
      <c r="M179" s="4"/>
      <c r="N179" s="4"/>
      <c r="O179" s="4"/>
    </row>
    <row r="180" spans="1:15" hidden="1" outlineLevel="1">
      <c r="A180" s="4"/>
      <c r="B180" s="4"/>
      <c r="C180" s="4"/>
      <c r="D180" s="4"/>
      <c r="E180" s="4"/>
      <c r="F180" s="4"/>
      <c r="G180" s="4"/>
      <c r="H180" s="4"/>
      <c r="I180" s="4"/>
      <c r="J180" s="4"/>
      <c r="K180" s="4"/>
      <c r="L180" s="4"/>
      <c r="M180" s="4"/>
      <c r="N180" s="4"/>
      <c r="O180" s="4"/>
    </row>
    <row r="181" spans="1:15" hidden="1" outlineLevel="1">
      <c r="A181" s="4"/>
      <c r="B181" s="4"/>
      <c r="C181" s="4"/>
      <c r="D181" s="4"/>
      <c r="E181" s="4"/>
      <c r="F181" s="4"/>
      <c r="G181" s="4"/>
      <c r="H181" s="4"/>
      <c r="I181" s="4"/>
      <c r="J181" s="4"/>
      <c r="K181" s="4"/>
      <c r="L181" s="4"/>
      <c r="M181" s="4"/>
      <c r="N181" s="4"/>
      <c r="O181" s="4"/>
    </row>
    <row r="182" spans="1:15" hidden="1" outlineLevel="1">
      <c r="A182" s="4"/>
      <c r="B182" s="4"/>
      <c r="C182" s="4"/>
      <c r="D182" s="4"/>
      <c r="E182" s="4"/>
      <c r="F182" s="4"/>
      <c r="G182" s="4"/>
      <c r="H182" s="4"/>
      <c r="I182" s="4"/>
      <c r="J182" s="4"/>
      <c r="K182" s="4"/>
      <c r="L182" s="4"/>
      <c r="M182" s="4"/>
      <c r="N182" s="4"/>
      <c r="O182" s="4"/>
    </row>
    <row r="183" spans="1:15" hidden="1" outlineLevel="1">
      <c r="A183" s="4"/>
      <c r="B183" s="4"/>
      <c r="C183" s="4"/>
      <c r="D183" s="4"/>
      <c r="E183" s="4"/>
      <c r="F183" s="4"/>
      <c r="G183" s="4"/>
      <c r="H183" s="4"/>
      <c r="I183" s="4"/>
      <c r="J183" s="4"/>
      <c r="K183" s="4"/>
      <c r="L183" s="4"/>
      <c r="M183" s="4"/>
      <c r="N183" s="4"/>
      <c r="O183" s="4"/>
    </row>
    <row r="184" spans="1:15" hidden="1" outlineLevel="1">
      <c r="A184" s="4"/>
      <c r="B184" s="4"/>
      <c r="C184" s="4"/>
      <c r="D184" s="4"/>
      <c r="E184" s="4"/>
      <c r="F184" s="4"/>
      <c r="G184" s="4"/>
      <c r="H184" s="4"/>
      <c r="I184" s="4"/>
      <c r="J184" s="4"/>
      <c r="K184" s="4"/>
      <c r="L184" s="4"/>
      <c r="M184" s="4"/>
      <c r="N184" s="4"/>
      <c r="O184" s="4"/>
    </row>
    <row r="185" spans="1:15" hidden="1" outlineLevel="1">
      <c r="A185" s="4"/>
      <c r="B185" s="4"/>
      <c r="C185" s="4"/>
      <c r="D185" s="4"/>
      <c r="E185" s="4"/>
      <c r="F185" s="4"/>
      <c r="G185" s="4"/>
      <c r="H185" s="4"/>
      <c r="I185" s="4"/>
      <c r="J185" s="4"/>
      <c r="K185" s="4"/>
      <c r="L185" s="4"/>
      <c r="M185" s="4"/>
      <c r="N185" s="4"/>
      <c r="O185" s="4"/>
    </row>
    <row r="186" spans="1:15" hidden="1" outlineLevel="1">
      <c r="A186" s="4"/>
      <c r="B186" s="4"/>
      <c r="C186" s="4"/>
      <c r="D186" s="4"/>
      <c r="E186" s="4"/>
      <c r="F186" s="4"/>
      <c r="G186" s="4"/>
      <c r="H186" s="4"/>
      <c r="I186" s="4"/>
      <c r="J186" s="4"/>
      <c r="K186" s="4"/>
      <c r="L186" s="4"/>
      <c r="M186" s="4"/>
      <c r="N186" s="4"/>
      <c r="O186" s="4"/>
    </row>
    <row r="187" spans="1:15" hidden="1" outlineLevel="1">
      <c r="A187" s="4"/>
      <c r="B187" s="4"/>
      <c r="C187" s="4"/>
      <c r="D187" s="4"/>
      <c r="E187" s="4"/>
      <c r="F187" s="4"/>
      <c r="G187" s="4"/>
      <c r="H187" s="4"/>
      <c r="I187" s="4"/>
      <c r="J187" s="4"/>
      <c r="K187" s="4"/>
      <c r="L187" s="4"/>
      <c r="M187" s="4"/>
      <c r="N187" s="4"/>
      <c r="O187" s="4"/>
    </row>
    <row r="188" spans="1:15" hidden="1" outlineLevel="1">
      <c r="A188" s="4"/>
      <c r="B188" s="4"/>
      <c r="C188" s="4"/>
      <c r="D188" s="4"/>
      <c r="E188" s="4"/>
      <c r="F188" s="4"/>
      <c r="G188" s="4"/>
      <c r="H188" s="4"/>
      <c r="I188" s="4"/>
      <c r="J188" s="4"/>
      <c r="K188" s="4"/>
      <c r="L188" s="4"/>
      <c r="M188" s="4"/>
      <c r="N188" s="4"/>
      <c r="O188" s="4"/>
    </row>
    <row r="189" spans="1:15" hidden="1" outlineLevel="1">
      <c r="A189" s="4"/>
      <c r="B189" s="4"/>
      <c r="C189" s="4"/>
      <c r="D189" s="4"/>
      <c r="E189" s="4"/>
      <c r="F189" s="4"/>
      <c r="G189" s="4"/>
      <c r="H189" s="4"/>
      <c r="I189" s="4"/>
      <c r="J189" s="4"/>
      <c r="K189" s="4"/>
      <c r="L189" s="4"/>
      <c r="M189" s="4"/>
      <c r="N189" s="4"/>
      <c r="O189" s="4"/>
    </row>
    <row r="190" spans="1:15" hidden="1" outlineLevel="1">
      <c r="A190" s="4"/>
      <c r="B190" s="4"/>
      <c r="C190" s="4"/>
      <c r="D190" s="4"/>
      <c r="E190" s="4"/>
      <c r="F190" s="4"/>
      <c r="G190" s="4"/>
      <c r="H190" s="4"/>
      <c r="I190" s="4"/>
      <c r="J190" s="4"/>
      <c r="K190" s="4"/>
      <c r="L190" s="4"/>
      <c r="M190" s="4"/>
      <c r="N190" s="4"/>
      <c r="O190" s="4"/>
    </row>
    <row r="191" spans="1:15" hidden="1" outlineLevel="1">
      <c r="A191" s="4"/>
      <c r="B191" s="4"/>
      <c r="C191" s="4"/>
      <c r="D191" s="4"/>
      <c r="E191" s="4"/>
      <c r="F191" s="4"/>
      <c r="G191" s="4"/>
      <c r="H191" s="4"/>
      <c r="I191" s="4"/>
      <c r="J191" s="4"/>
      <c r="K191" s="4"/>
      <c r="L191" s="4"/>
      <c r="M191" s="4"/>
      <c r="N191" s="4"/>
      <c r="O191" s="4"/>
    </row>
    <row r="192" spans="1:15" hidden="1" outlineLevel="1">
      <c r="A192" s="4"/>
      <c r="B192" s="4"/>
      <c r="C192" s="4"/>
      <c r="D192" s="4"/>
      <c r="E192" s="4"/>
      <c r="F192" s="4"/>
      <c r="G192" s="4"/>
      <c r="H192" s="4"/>
      <c r="I192" s="4"/>
      <c r="J192" s="4"/>
      <c r="K192" s="4"/>
      <c r="L192" s="4"/>
      <c r="M192" s="4"/>
      <c r="N192" s="4"/>
      <c r="O192" s="4"/>
    </row>
    <row r="193" spans="1:15" hidden="1" outlineLevel="1">
      <c r="A193" s="4"/>
      <c r="B193" s="4"/>
      <c r="C193" s="4"/>
      <c r="D193" s="4"/>
      <c r="E193" s="4"/>
      <c r="F193" s="4"/>
      <c r="G193" s="4"/>
      <c r="H193" s="4"/>
      <c r="I193" s="4"/>
      <c r="J193" s="4"/>
      <c r="K193" s="4"/>
      <c r="L193" s="4"/>
      <c r="M193" s="4"/>
      <c r="N193" s="4"/>
      <c r="O193" s="4"/>
    </row>
    <row r="194" spans="1:15" hidden="1" outlineLevel="1">
      <c r="A194" s="4"/>
      <c r="B194" s="4"/>
      <c r="C194" s="4"/>
      <c r="D194" s="4"/>
      <c r="E194" s="4"/>
      <c r="F194" s="4"/>
      <c r="G194" s="4"/>
      <c r="H194" s="4"/>
      <c r="I194" s="4"/>
      <c r="J194" s="4"/>
      <c r="K194" s="4"/>
      <c r="L194" s="4"/>
      <c r="M194" s="4"/>
      <c r="N194" s="4"/>
      <c r="O194" s="4"/>
    </row>
    <row r="195" spans="1:15" hidden="1" outlineLevel="1">
      <c r="A195" s="4"/>
      <c r="B195" s="4"/>
      <c r="C195" s="4"/>
      <c r="D195" s="4"/>
      <c r="E195" s="4"/>
      <c r="F195" s="4"/>
      <c r="G195" s="4"/>
      <c r="H195" s="4"/>
      <c r="I195" s="4"/>
      <c r="J195" s="4"/>
      <c r="K195" s="4"/>
      <c r="L195" s="4"/>
      <c r="M195" s="4"/>
      <c r="N195" s="4"/>
      <c r="O195" s="4"/>
    </row>
    <row r="196" spans="1:15" hidden="1" outlineLevel="1">
      <c r="A196" s="4"/>
      <c r="B196" s="4"/>
      <c r="C196" s="4"/>
      <c r="D196" s="4"/>
      <c r="E196" s="4"/>
      <c r="F196" s="4"/>
      <c r="G196" s="4"/>
      <c r="H196" s="4"/>
      <c r="I196" s="4"/>
      <c r="J196" s="4"/>
      <c r="K196" s="4"/>
      <c r="L196" s="4"/>
      <c r="M196" s="4"/>
      <c r="N196" s="4"/>
      <c r="O196" s="4"/>
    </row>
    <row r="197" spans="1:15" hidden="1" outlineLevel="1">
      <c r="A197" s="4"/>
      <c r="B197" s="4"/>
      <c r="C197" s="4"/>
      <c r="D197" s="4"/>
      <c r="E197" s="4"/>
      <c r="F197" s="4"/>
      <c r="G197" s="4"/>
      <c r="H197" s="4"/>
      <c r="I197" s="4"/>
      <c r="J197" s="4"/>
      <c r="K197" s="4"/>
      <c r="L197" s="4"/>
      <c r="M197" s="4"/>
      <c r="N197" s="4"/>
      <c r="O197" s="4"/>
    </row>
    <row r="198" spans="1:15" hidden="1" outlineLevel="1">
      <c r="A198" s="4"/>
      <c r="B198" s="4"/>
      <c r="C198" s="4"/>
      <c r="D198" s="4"/>
      <c r="E198" s="4"/>
      <c r="F198" s="4"/>
      <c r="G198" s="4"/>
      <c r="H198" s="4"/>
      <c r="I198" s="4"/>
      <c r="J198" s="4"/>
      <c r="K198" s="4"/>
      <c r="L198" s="4"/>
      <c r="M198" s="4"/>
      <c r="N198" s="4"/>
      <c r="O198" s="4"/>
    </row>
    <row r="199" spans="1:15" hidden="1" outlineLevel="1">
      <c r="A199" s="4"/>
      <c r="B199" s="4"/>
      <c r="C199" s="4"/>
      <c r="D199" s="4"/>
      <c r="E199" s="4"/>
      <c r="F199" s="4"/>
      <c r="G199" s="4"/>
      <c r="H199" s="4"/>
      <c r="I199" s="4"/>
      <c r="J199" s="4"/>
      <c r="K199" s="4"/>
      <c r="L199" s="4"/>
      <c r="M199" s="4"/>
      <c r="N199" s="4"/>
      <c r="O199" s="4"/>
    </row>
    <row r="200" spans="1:15" hidden="1" outlineLevel="1">
      <c r="A200" s="4"/>
      <c r="B200" s="4"/>
      <c r="C200" s="4"/>
      <c r="D200" s="4"/>
      <c r="E200" s="4"/>
      <c r="F200" s="4"/>
      <c r="G200" s="4"/>
      <c r="H200" s="4"/>
      <c r="I200" s="4"/>
      <c r="J200" s="4"/>
      <c r="K200" s="4"/>
      <c r="L200" s="4"/>
      <c r="M200" s="4"/>
      <c r="N200" s="4"/>
      <c r="O200" s="4"/>
    </row>
    <row r="201" spans="1:15" hidden="1" outlineLevel="1">
      <c r="A201" s="4"/>
      <c r="B201" s="4"/>
      <c r="C201" s="4"/>
      <c r="D201" s="4"/>
      <c r="E201" s="4"/>
      <c r="F201" s="4"/>
      <c r="G201" s="4"/>
      <c r="H201" s="4"/>
      <c r="I201" s="4"/>
      <c r="J201" s="4"/>
      <c r="K201" s="4"/>
      <c r="L201" s="4"/>
      <c r="M201" s="4"/>
      <c r="N201" s="4"/>
      <c r="O201" s="4"/>
    </row>
    <row r="202" spans="1:15" hidden="1" outlineLevel="1">
      <c r="A202" s="4"/>
      <c r="B202" s="4"/>
      <c r="C202" s="4"/>
      <c r="D202" s="4"/>
      <c r="E202" s="4"/>
      <c r="F202" s="4"/>
      <c r="G202" s="4"/>
      <c r="H202" s="4"/>
      <c r="I202" s="4"/>
      <c r="J202" s="4"/>
      <c r="K202" s="4"/>
      <c r="L202" s="4"/>
      <c r="M202" s="4"/>
      <c r="N202" s="4"/>
      <c r="O202" s="4"/>
    </row>
    <row r="203" spans="1:15" hidden="1" outlineLevel="1">
      <c r="A203" s="4"/>
      <c r="B203" s="4"/>
      <c r="C203" s="4"/>
      <c r="D203" s="4"/>
      <c r="E203" s="4"/>
      <c r="F203" s="4"/>
      <c r="G203" s="4"/>
      <c r="H203" s="4"/>
      <c r="I203" s="4"/>
      <c r="J203" s="4"/>
      <c r="K203" s="4"/>
      <c r="L203" s="4"/>
      <c r="M203" s="4"/>
      <c r="N203" s="4"/>
      <c r="O203" s="4"/>
    </row>
    <row r="204" spans="1:15" hidden="1" outlineLevel="1">
      <c r="A204" s="4"/>
      <c r="B204" s="4"/>
      <c r="C204" s="4"/>
      <c r="D204" s="4"/>
      <c r="E204" s="4"/>
      <c r="F204" s="4"/>
      <c r="G204" s="4"/>
      <c r="H204" s="4"/>
      <c r="I204" s="4"/>
      <c r="J204" s="4"/>
      <c r="K204" s="4"/>
      <c r="L204" s="4"/>
      <c r="M204" s="4"/>
      <c r="N204" s="4"/>
      <c r="O204" s="4"/>
    </row>
    <row r="205" spans="1:15" collapsed="1">
      <c r="A205" s="4"/>
      <c r="B205" s="4"/>
      <c r="C205" s="4"/>
      <c r="D205" s="4"/>
      <c r="E205" s="4"/>
      <c r="F205" s="4"/>
      <c r="G205" s="4"/>
      <c r="H205" s="4"/>
      <c r="I205" s="4"/>
      <c r="J205" s="4"/>
      <c r="K205" s="4"/>
      <c r="L205" s="4"/>
      <c r="M205" s="4"/>
      <c r="N205" s="4"/>
      <c r="O205" s="4"/>
    </row>
    <row r="206" spans="1:15" ht="18.600000000000001">
      <c r="A206" s="102"/>
      <c r="B206" s="102"/>
      <c r="C206" s="102" t="s">
        <v>459</v>
      </c>
      <c r="D206" s="102"/>
      <c r="E206" s="102"/>
      <c r="F206" s="102"/>
      <c r="G206" s="102"/>
      <c r="H206" s="102"/>
      <c r="I206" s="102"/>
      <c r="J206" s="4"/>
      <c r="K206" s="4"/>
      <c r="L206" s="4"/>
      <c r="M206" s="4"/>
      <c r="N206" s="4"/>
      <c r="O206" s="4"/>
    </row>
    <row r="207" spans="1:15" hidden="1" outlineLevel="1">
      <c r="A207" s="4"/>
      <c r="B207" s="4"/>
      <c r="C207" s="4"/>
      <c r="D207" s="4"/>
      <c r="E207" s="4"/>
      <c r="F207" s="4"/>
      <c r="G207" s="4"/>
      <c r="H207" s="4"/>
      <c r="I207" s="4"/>
      <c r="J207" s="4"/>
      <c r="K207" s="4"/>
      <c r="L207" s="4"/>
      <c r="M207" s="4"/>
      <c r="N207" s="4"/>
      <c r="O207" s="4"/>
    </row>
    <row r="208" spans="1:15" hidden="1" outlineLevel="1">
      <c r="A208" s="4"/>
      <c r="B208" s="4"/>
      <c r="C208" s="4"/>
      <c r="D208" s="4"/>
      <c r="E208" s="4"/>
      <c r="F208" s="4"/>
      <c r="G208" s="4"/>
      <c r="H208" s="4"/>
      <c r="I208" s="4"/>
      <c r="J208" s="4"/>
      <c r="K208" s="4"/>
      <c r="L208" s="4"/>
      <c r="M208" s="4"/>
      <c r="N208" s="4"/>
      <c r="O208" s="4"/>
    </row>
    <row r="209" spans="1:15" hidden="1" outlineLevel="1">
      <c r="A209" s="4"/>
      <c r="B209" s="4"/>
      <c r="C209" s="4"/>
      <c r="D209" s="4"/>
      <c r="E209" s="4"/>
      <c r="F209" s="4"/>
      <c r="G209" s="4"/>
      <c r="H209" s="4"/>
      <c r="I209" s="4"/>
      <c r="J209" s="4"/>
      <c r="K209" s="4"/>
      <c r="L209" s="4"/>
      <c r="M209" s="4"/>
      <c r="N209" s="4"/>
      <c r="O209" s="4"/>
    </row>
    <row r="210" spans="1:15" hidden="1" outlineLevel="1">
      <c r="A210" s="4"/>
      <c r="B210" s="4"/>
      <c r="C210" s="4"/>
      <c r="D210" s="4"/>
      <c r="E210" s="4"/>
      <c r="F210" s="4"/>
      <c r="G210" s="4"/>
      <c r="H210" s="4"/>
      <c r="I210" s="4"/>
      <c r="J210" s="4"/>
      <c r="K210" s="4"/>
      <c r="L210" s="4"/>
      <c r="M210" s="4"/>
      <c r="N210" s="4"/>
      <c r="O210" s="4"/>
    </row>
    <row r="211" spans="1:15" hidden="1" outlineLevel="1">
      <c r="A211" s="4"/>
      <c r="B211" s="4"/>
      <c r="C211" s="4"/>
      <c r="D211" s="4"/>
      <c r="E211" s="4"/>
      <c r="F211" s="4"/>
      <c r="G211" s="4"/>
      <c r="H211" s="4"/>
      <c r="I211" s="4"/>
      <c r="J211" s="4"/>
      <c r="K211" s="4"/>
      <c r="L211" s="4"/>
      <c r="M211" s="4"/>
      <c r="N211" s="4"/>
      <c r="O211" s="4"/>
    </row>
    <row r="212" spans="1:15" hidden="1" outlineLevel="1">
      <c r="A212" s="4"/>
      <c r="B212" s="4"/>
      <c r="C212" s="4"/>
      <c r="D212" s="4"/>
      <c r="E212" s="4"/>
      <c r="F212" s="4"/>
      <c r="G212" s="4"/>
      <c r="H212" s="4"/>
      <c r="I212" s="4"/>
      <c r="J212" s="4"/>
      <c r="K212" s="4"/>
      <c r="L212" s="4"/>
      <c r="M212" s="4"/>
      <c r="N212" s="4"/>
      <c r="O212" s="4"/>
    </row>
    <row r="213" spans="1:15" hidden="1" outlineLevel="1">
      <c r="A213" s="4"/>
      <c r="B213" s="4"/>
      <c r="C213" s="4"/>
      <c r="D213" s="4"/>
      <c r="E213" s="4"/>
      <c r="F213" s="4"/>
      <c r="G213" s="4"/>
      <c r="H213" s="4"/>
      <c r="I213" s="4"/>
      <c r="J213" s="4"/>
      <c r="K213" s="4"/>
      <c r="L213" s="4"/>
      <c r="M213" s="4"/>
      <c r="N213" s="4"/>
      <c r="O213" s="4"/>
    </row>
    <row r="214" spans="1:15" hidden="1" outlineLevel="1">
      <c r="A214" s="4"/>
      <c r="B214" s="4"/>
      <c r="C214" s="4"/>
      <c r="D214" s="4"/>
      <c r="E214" s="4"/>
      <c r="F214" s="4"/>
      <c r="G214" s="4"/>
      <c r="H214" s="4"/>
      <c r="I214" s="4"/>
      <c r="J214" s="4"/>
      <c r="K214" s="4"/>
      <c r="L214" s="4"/>
      <c r="M214" s="4"/>
      <c r="N214" s="4"/>
      <c r="O214" s="4"/>
    </row>
    <row r="215" spans="1:15" hidden="1" outlineLevel="1">
      <c r="A215" s="4"/>
      <c r="B215" s="4"/>
      <c r="C215" s="4"/>
      <c r="D215" s="4"/>
      <c r="E215" s="4"/>
      <c r="F215" s="4"/>
      <c r="G215" s="4"/>
      <c r="H215" s="4"/>
      <c r="I215" s="4"/>
      <c r="J215" s="4"/>
      <c r="K215" s="4"/>
      <c r="L215" s="4"/>
      <c r="M215" s="4"/>
      <c r="N215" s="4"/>
      <c r="O215" s="4"/>
    </row>
    <row r="216" spans="1:15" hidden="1" outlineLevel="1">
      <c r="A216" s="4"/>
      <c r="B216" s="4"/>
      <c r="C216" s="4"/>
      <c r="D216" s="4"/>
      <c r="E216" s="4"/>
      <c r="F216" s="4"/>
      <c r="G216" s="4"/>
      <c r="H216" s="4"/>
      <c r="I216" s="4"/>
      <c r="J216" s="4"/>
      <c r="K216" s="4"/>
      <c r="L216" s="4"/>
      <c r="M216" s="4"/>
      <c r="N216" s="4"/>
      <c r="O216" s="4"/>
    </row>
    <row r="217" spans="1:15" hidden="1" outlineLevel="1">
      <c r="A217" s="4"/>
      <c r="B217" s="4"/>
      <c r="C217" s="4"/>
      <c r="D217" s="4"/>
      <c r="E217" s="4"/>
      <c r="F217" s="4"/>
      <c r="G217" s="4"/>
      <c r="H217" s="4"/>
      <c r="I217" s="4"/>
      <c r="J217" s="4"/>
      <c r="K217" s="4"/>
      <c r="L217" s="4"/>
      <c r="M217" s="4"/>
      <c r="N217" s="4"/>
      <c r="O217" s="4"/>
    </row>
    <row r="218" spans="1:15" hidden="1" outlineLevel="1">
      <c r="A218" s="4"/>
      <c r="B218" s="4"/>
      <c r="C218" s="4"/>
      <c r="D218" s="4"/>
      <c r="E218" s="4"/>
      <c r="F218" s="4"/>
      <c r="G218" s="4"/>
      <c r="H218" s="4"/>
      <c r="I218" s="4"/>
      <c r="J218" s="4"/>
      <c r="K218" s="4"/>
      <c r="L218" s="4"/>
      <c r="M218" s="4"/>
      <c r="N218" s="4"/>
      <c r="O218" s="4"/>
    </row>
    <row r="219" spans="1:15" hidden="1" outlineLevel="1">
      <c r="A219" s="4"/>
      <c r="B219" s="4"/>
      <c r="C219" s="4"/>
      <c r="D219" s="4"/>
      <c r="E219" s="4"/>
      <c r="F219" s="4"/>
      <c r="G219" s="4"/>
      <c r="H219" s="4"/>
      <c r="I219" s="4"/>
      <c r="J219" s="4"/>
      <c r="K219" s="4"/>
      <c r="L219" s="4"/>
      <c r="M219" s="4"/>
      <c r="N219" s="4"/>
      <c r="O219" s="4"/>
    </row>
    <row r="220" spans="1:15" hidden="1" outlineLevel="1">
      <c r="A220" s="4"/>
      <c r="B220" s="4"/>
      <c r="C220" s="4"/>
      <c r="D220" s="4"/>
      <c r="E220" s="4"/>
      <c r="F220" s="4"/>
      <c r="G220" s="4"/>
      <c r="H220" s="4"/>
      <c r="I220" s="4"/>
      <c r="J220" s="4"/>
      <c r="K220" s="4"/>
      <c r="L220" s="4"/>
      <c r="M220" s="4"/>
      <c r="N220" s="4"/>
      <c r="O220" s="4"/>
    </row>
    <row r="221" spans="1:15" hidden="1" outlineLevel="1">
      <c r="A221" s="4"/>
      <c r="B221" s="4"/>
      <c r="C221" s="4"/>
      <c r="D221" s="4"/>
      <c r="E221" s="4"/>
      <c r="F221" s="4"/>
      <c r="G221" s="4"/>
      <c r="H221" s="4"/>
      <c r="I221" s="4"/>
      <c r="J221" s="4"/>
      <c r="K221" s="4"/>
      <c r="L221" s="4"/>
      <c r="M221" s="4"/>
      <c r="N221" s="4"/>
      <c r="O221" s="4"/>
    </row>
    <row r="222" spans="1:15" hidden="1" outlineLevel="1">
      <c r="A222" s="4"/>
      <c r="B222" s="4"/>
      <c r="C222" s="4"/>
      <c r="D222" s="4"/>
      <c r="E222" s="4"/>
      <c r="F222" s="4"/>
      <c r="G222" s="4"/>
      <c r="H222" s="4"/>
      <c r="I222" s="4"/>
      <c r="J222" s="4"/>
      <c r="K222" s="4"/>
      <c r="L222" s="4"/>
      <c r="M222" s="4"/>
      <c r="N222" s="4"/>
      <c r="O222" s="4"/>
    </row>
    <row r="223" spans="1:15" hidden="1" outlineLevel="1">
      <c r="A223" s="4"/>
      <c r="B223" s="4"/>
      <c r="C223" s="4"/>
      <c r="D223" s="4"/>
      <c r="E223" s="4"/>
      <c r="F223" s="4"/>
      <c r="G223" s="4"/>
      <c r="H223" s="4"/>
      <c r="I223" s="4"/>
      <c r="J223" s="4"/>
      <c r="K223" s="4"/>
      <c r="L223" s="4"/>
      <c r="M223" s="4"/>
      <c r="N223" s="4"/>
      <c r="O223" s="4"/>
    </row>
    <row r="224" spans="1:15" hidden="1" outlineLevel="1">
      <c r="A224" s="4"/>
      <c r="B224" s="4"/>
      <c r="C224" s="4"/>
      <c r="D224" s="4"/>
      <c r="E224" s="4"/>
      <c r="F224" s="4"/>
      <c r="G224" s="4"/>
      <c r="H224" s="4"/>
      <c r="I224" s="4"/>
      <c r="J224" s="4"/>
      <c r="K224" s="4"/>
      <c r="L224" s="4"/>
      <c r="M224" s="4"/>
      <c r="N224" s="4"/>
      <c r="O224" s="4"/>
    </row>
    <row r="225" spans="1:15" hidden="1" outlineLevel="1">
      <c r="A225" s="4"/>
      <c r="B225" s="4"/>
      <c r="C225" s="4"/>
      <c r="D225" s="4"/>
      <c r="E225" s="4"/>
      <c r="F225" s="4"/>
      <c r="G225" s="4"/>
      <c r="H225" s="4"/>
      <c r="I225" s="4"/>
      <c r="J225" s="4"/>
      <c r="K225" s="4"/>
      <c r="L225" s="4"/>
      <c r="M225" s="4"/>
      <c r="N225" s="4"/>
      <c r="O225" s="4"/>
    </row>
    <row r="226" spans="1:15" hidden="1" outlineLevel="1">
      <c r="A226" s="4"/>
      <c r="B226" s="4"/>
      <c r="C226" s="4"/>
      <c r="D226" s="4"/>
      <c r="E226" s="4"/>
      <c r="F226" s="4"/>
      <c r="G226" s="4"/>
      <c r="H226" s="4"/>
      <c r="I226" s="4"/>
      <c r="J226" s="4"/>
      <c r="K226" s="4"/>
      <c r="L226" s="4"/>
      <c r="M226" s="4"/>
      <c r="N226" s="4"/>
      <c r="O226" s="4"/>
    </row>
    <row r="227" spans="1:15" hidden="1" outlineLevel="1">
      <c r="A227" s="4"/>
      <c r="B227" s="4"/>
      <c r="C227" s="4"/>
      <c r="D227" s="4"/>
      <c r="E227" s="4"/>
      <c r="F227" s="4"/>
      <c r="G227" s="4"/>
      <c r="H227" s="4"/>
      <c r="I227" s="4"/>
      <c r="J227" s="4"/>
      <c r="K227" s="4"/>
      <c r="L227" s="4"/>
      <c r="M227" s="4"/>
      <c r="N227" s="4"/>
      <c r="O227" s="4"/>
    </row>
    <row r="228" spans="1:15" hidden="1" outlineLevel="1">
      <c r="A228" s="4"/>
      <c r="B228" s="4"/>
      <c r="C228" s="4"/>
      <c r="D228" s="4"/>
      <c r="E228" s="4"/>
      <c r="F228" s="4"/>
      <c r="G228" s="4"/>
      <c r="H228" s="4"/>
      <c r="I228" s="4"/>
      <c r="J228" s="4"/>
      <c r="K228" s="4"/>
      <c r="L228" s="4"/>
      <c r="M228" s="4"/>
      <c r="N228" s="4"/>
      <c r="O228" s="4"/>
    </row>
    <row r="229" spans="1:15" hidden="1" outlineLevel="1">
      <c r="A229" s="4"/>
      <c r="B229" s="4"/>
      <c r="C229" s="4"/>
      <c r="D229" s="4"/>
      <c r="E229" s="4"/>
      <c r="F229" s="4"/>
      <c r="G229" s="4"/>
      <c r="H229" s="4"/>
      <c r="I229" s="4"/>
      <c r="J229" s="4"/>
      <c r="K229" s="4"/>
      <c r="L229" s="4"/>
      <c r="M229" s="4"/>
      <c r="N229" s="4"/>
      <c r="O229" s="4"/>
    </row>
    <row r="230" spans="1:15" hidden="1" outlineLevel="1">
      <c r="A230" s="4"/>
      <c r="B230" s="4"/>
      <c r="C230" s="4"/>
      <c r="D230" s="4"/>
      <c r="E230" s="4"/>
      <c r="F230" s="4"/>
      <c r="G230" s="4"/>
      <c r="H230" s="4"/>
      <c r="I230" s="4"/>
      <c r="J230" s="4"/>
      <c r="K230" s="4"/>
      <c r="L230" s="4"/>
      <c r="M230" s="4"/>
      <c r="N230" s="4"/>
      <c r="O230" s="4"/>
    </row>
    <row r="231" spans="1:15" hidden="1" outlineLevel="1">
      <c r="A231" s="4"/>
      <c r="B231" s="4"/>
      <c r="C231" s="4"/>
      <c r="D231" s="4"/>
      <c r="E231" s="4"/>
      <c r="F231" s="4"/>
      <c r="G231" s="4"/>
      <c r="H231" s="4"/>
      <c r="I231" s="4"/>
      <c r="J231" s="4"/>
      <c r="K231" s="4"/>
      <c r="L231" s="4"/>
      <c r="M231" s="4"/>
      <c r="N231" s="4"/>
      <c r="O231" s="4"/>
    </row>
    <row r="232" spans="1:15" hidden="1" outlineLevel="1">
      <c r="A232" s="4"/>
      <c r="B232" s="4"/>
      <c r="C232" s="4"/>
      <c r="D232" s="4"/>
      <c r="E232" s="4"/>
      <c r="F232" s="4"/>
      <c r="G232" s="4"/>
      <c r="H232" s="4"/>
      <c r="I232" s="4"/>
      <c r="J232" s="4"/>
      <c r="K232" s="4"/>
      <c r="L232" s="4"/>
      <c r="M232" s="4"/>
      <c r="N232" s="4"/>
      <c r="O232" s="4"/>
    </row>
    <row r="233" spans="1:15" hidden="1" outlineLevel="1">
      <c r="A233" s="4"/>
      <c r="B233" s="4"/>
      <c r="C233" s="4"/>
      <c r="D233" s="4"/>
      <c r="E233" s="4"/>
      <c r="F233" s="4"/>
      <c r="G233" s="4"/>
      <c r="H233" s="4"/>
      <c r="I233" s="4"/>
      <c r="J233" s="4"/>
      <c r="K233" s="4"/>
      <c r="L233" s="4"/>
      <c r="M233" s="4"/>
      <c r="N233" s="4"/>
      <c r="O233" s="4"/>
    </row>
    <row r="234" spans="1:15" hidden="1" outlineLevel="1">
      <c r="A234" s="4"/>
      <c r="B234" s="4"/>
      <c r="C234" s="4"/>
      <c r="D234" s="4"/>
      <c r="E234" s="4"/>
      <c r="F234" s="4"/>
      <c r="G234" s="4"/>
      <c r="H234" s="4"/>
      <c r="I234" s="4"/>
      <c r="J234" s="4"/>
      <c r="K234" s="4"/>
      <c r="L234" s="4"/>
      <c r="M234" s="4"/>
      <c r="N234" s="4"/>
      <c r="O234" s="4"/>
    </row>
    <row r="235" spans="1:15" collapsed="1">
      <c r="A235" s="4"/>
      <c r="B235" s="4"/>
      <c r="C235" s="4"/>
      <c r="D235" s="4"/>
      <c r="E235" s="4"/>
      <c r="F235" s="4"/>
      <c r="G235" s="4"/>
      <c r="H235" s="4"/>
      <c r="I235" s="4"/>
      <c r="J235" s="4"/>
      <c r="K235" s="4"/>
      <c r="L235" s="4"/>
      <c r="M235" s="4"/>
      <c r="N235" s="4"/>
      <c r="O235" s="4"/>
    </row>
    <row r="236" spans="1:15" ht="14.45" customHeight="1">
      <c r="A236" s="4"/>
      <c r="B236" s="4"/>
      <c r="C236" s="102" t="s">
        <v>78</v>
      </c>
      <c r="D236" s="102"/>
      <c r="E236" s="4"/>
      <c r="F236" s="4"/>
      <c r="G236" s="4"/>
      <c r="H236" s="4"/>
      <c r="I236" s="4"/>
      <c r="J236" s="4"/>
      <c r="K236" s="4"/>
      <c r="L236" s="4"/>
      <c r="M236" s="4"/>
      <c r="N236" s="4"/>
      <c r="O236" s="4"/>
    </row>
    <row r="237" spans="1:15" outlineLevel="1">
      <c r="A237" s="4"/>
      <c r="B237" s="4"/>
      <c r="C237" s="4"/>
      <c r="D237" s="4"/>
      <c r="E237" s="4"/>
      <c r="F237" s="4"/>
      <c r="G237" s="4"/>
      <c r="H237" s="4"/>
      <c r="I237" s="4"/>
      <c r="J237" s="4"/>
      <c r="K237" s="4"/>
      <c r="L237" s="4"/>
      <c r="M237" s="4"/>
      <c r="N237" s="4"/>
      <c r="O237" s="4"/>
    </row>
    <row r="238" spans="1:15" outlineLevel="1">
      <c r="A238" s="4"/>
      <c r="B238" s="4"/>
      <c r="C238" s="70" t="s">
        <v>460</v>
      </c>
      <c r="D238" s="7"/>
      <c r="E238" s="7"/>
      <c r="F238" s="7"/>
      <c r="G238" s="7"/>
      <c r="H238" s="7"/>
      <c r="I238" s="7"/>
      <c r="J238" s="7"/>
      <c r="K238" s="7"/>
      <c r="L238" s="7"/>
      <c r="M238" s="7"/>
      <c r="N238" s="7"/>
      <c r="O238" s="4"/>
    </row>
    <row r="239" spans="1:15" outlineLevel="1">
      <c r="A239" s="4"/>
      <c r="B239" s="4"/>
      <c r="C239" s="1" t="s">
        <v>461</v>
      </c>
      <c r="D239" s="7"/>
      <c r="E239" s="7"/>
      <c r="F239" s="7"/>
      <c r="G239" s="7"/>
      <c r="H239" s="7"/>
      <c r="I239" s="7"/>
      <c r="J239" s="7"/>
      <c r="K239" s="7"/>
      <c r="L239" s="7"/>
      <c r="M239" s="7"/>
      <c r="N239" s="7"/>
      <c r="O239" s="4"/>
    </row>
    <row r="240" spans="1:15" ht="16.5" outlineLevel="1">
      <c r="A240" s="4"/>
      <c r="B240" s="4"/>
      <c r="C240" s="539">
        <v>1</v>
      </c>
      <c r="D240" s="1" t="s">
        <v>462</v>
      </c>
      <c r="E240" s="7"/>
      <c r="F240" s="7"/>
      <c r="G240" s="7"/>
      <c r="H240" s="7"/>
      <c r="I240" s="7"/>
      <c r="J240" s="7"/>
      <c r="K240" s="7"/>
      <c r="L240" s="7"/>
      <c r="M240" s="7"/>
      <c r="N240" s="7"/>
      <c r="O240" s="4"/>
    </row>
    <row r="241" spans="1:15" ht="16.5" outlineLevel="1">
      <c r="A241" s="4"/>
      <c r="B241" s="4"/>
      <c r="C241" s="539">
        <v>2</v>
      </c>
      <c r="D241" s="7" t="s">
        <v>463</v>
      </c>
      <c r="E241" s="7"/>
      <c r="F241" s="7"/>
      <c r="G241" s="7"/>
      <c r="H241" s="7"/>
      <c r="I241" s="7"/>
      <c r="J241" s="7"/>
      <c r="K241" s="7"/>
      <c r="L241" s="7"/>
      <c r="M241" s="7"/>
      <c r="N241" s="7"/>
      <c r="O241" s="4"/>
    </row>
    <row r="242" spans="1:15" ht="16.5" outlineLevel="1">
      <c r="A242" s="4"/>
      <c r="B242" s="4"/>
      <c r="C242" s="539">
        <v>3</v>
      </c>
      <c r="D242" s="7" t="s">
        <v>464</v>
      </c>
      <c r="E242" s="7"/>
      <c r="F242" s="7"/>
      <c r="G242" s="7"/>
      <c r="H242" s="7"/>
      <c r="I242" s="7"/>
      <c r="J242" s="7"/>
      <c r="K242" s="7"/>
      <c r="L242" s="7"/>
      <c r="M242" s="7"/>
      <c r="N242" s="7"/>
      <c r="O242" s="4"/>
    </row>
    <row r="243" spans="1:15" ht="16.5" outlineLevel="1">
      <c r="A243" s="4"/>
      <c r="B243" s="4"/>
      <c r="C243" s="539">
        <v>4</v>
      </c>
      <c r="D243" s="7" t="s">
        <v>465</v>
      </c>
      <c r="E243" s="7"/>
      <c r="F243" s="7"/>
      <c r="G243" s="7"/>
      <c r="H243" s="7"/>
      <c r="I243" s="7"/>
      <c r="J243" s="7"/>
      <c r="K243" s="7"/>
      <c r="L243" s="7"/>
      <c r="M243" s="7"/>
      <c r="N243" s="7"/>
      <c r="O243" s="4"/>
    </row>
    <row r="244" spans="1:15" ht="16.5" outlineLevel="1">
      <c r="A244" s="4"/>
      <c r="B244" s="4"/>
      <c r="C244" s="539">
        <v>5</v>
      </c>
      <c r="D244" s="70" t="s">
        <v>466</v>
      </c>
      <c r="E244" s="7"/>
      <c r="F244" s="7"/>
      <c r="G244" s="7"/>
      <c r="H244" s="7"/>
      <c r="I244" s="7"/>
      <c r="J244" s="7"/>
      <c r="K244" s="7"/>
      <c r="L244" s="7"/>
      <c r="M244" s="7"/>
      <c r="N244" s="7"/>
      <c r="O244" s="4"/>
    </row>
    <row r="245" spans="1:15" ht="16.5" outlineLevel="1">
      <c r="A245" s="4"/>
      <c r="B245" s="4"/>
      <c r="C245" s="539">
        <v>6</v>
      </c>
      <c r="D245" s="70" t="s">
        <v>467</v>
      </c>
      <c r="E245" s="7"/>
      <c r="F245" s="7"/>
      <c r="G245" s="7"/>
      <c r="H245" s="7"/>
      <c r="I245" s="7"/>
      <c r="J245" s="7"/>
      <c r="K245" s="7"/>
      <c r="L245" s="7"/>
      <c r="M245" s="7"/>
      <c r="N245" s="7"/>
      <c r="O245" s="4"/>
    </row>
    <row r="246" spans="1:15" ht="16.5" outlineLevel="1">
      <c r="A246" s="4"/>
      <c r="B246" s="4"/>
      <c r="C246" s="539">
        <v>7</v>
      </c>
      <c r="D246" s="70" t="s">
        <v>468</v>
      </c>
      <c r="E246" s="7"/>
      <c r="F246" s="7"/>
      <c r="G246" s="7"/>
      <c r="H246" s="7"/>
      <c r="I246" s="7"/>
      <c r="J246" s="7"/>
      <c r="K246" s="7"/>
      <c r="L246" s="7"/>
      <c r="M246" s="7"/>
      <c r="N246" s="7"/>
      <c r="O246" s="4"/>
    </row>
    <row r="247" spans="1:15" ht="16.5" outlineLevel="1">
      <c r="A247" s="4"/>
      <c r="B247" s="4"/>
      <c r="C247" s="539">
        <v>8</v>
      </c>
      <c r="D247" s="7" t="s">
        <v>469</v>
      </c>
      <c r="E247" s="7"/>
      <c r="F247" s="7"/>
      <c r="G247" s="7"/>
      <c r="H247" s="7"/>
      <c r="I247" s="7"/>
      <c r="J247" s="7"/>
      <c r="K247" s="7"/>
      <c r="L247" s="7"/>
      <c r="M247" s="7"/>
      <c r="N247" s="7"/>
      <c r="O247" s="4"/>
    </row>
    <row r="248" spans="1:15" ht="16.5" outlineLevel="1">
      <c r="A248" s="4"/>
      <c r="B248" s="4"/>
      <c r="C248" s="539">
        <v>9</v>
      </c>
      <c r="D248" s="70" t="s">
        <v>468</v>
      </c>
      <c r="E248" s="7"/>
      <c r="F248" s="7"/>
      <c r="G248" s="7"/>
      <c r="H248" s="7"/>
      <c r="I248" s="7"/>
      <c r="J248" s="7"/>
      <c r="K248" s="7"/>
      <c r="L248" s="7"/>
      <c r="M248" s="7"/>
      <c r="N248" s="7"/>
      <c r="O248" s="4"/>
    </row>
    <row r="249" spans="1:15" ht="16.5" outlineLevel="1">
      <c r="A249" s="4"/>
      <c r="B249" s="4"/>
      <c r="C249" s="539">
        <v>10</v>
      </c>
      <c r="D249" s="7" t="s">
        <v>470</v>
      </c>
      <c r="E249" s="7"/>
      <c r="F249" s="7"/>
      <c r="G249" s="7"/>
      <c r="H249" s="7"/>
      <c r="I249" s="7"/>
      <c r="J249" s="7"/>
      <c r="K249" s="7"/>
      <c r="L249" s="7"/>
      <c r="M249" s="7"/>
      <c r="N249" s="7"/>
      <c r="O249" s="4"/>
    </row>
    <row r="250" spans="1:15">
      <c r="A250" s="4"/>
      <c r="B250" s="4"/>
      <c r="C250" s="4"/>
      <c r="D250" s="4"/>
      <c r="E250" s="4"/>
      <c r="F250" s="4"/>
      <c r="G250" s="4"/>
      <c r="H250" s="4"/>
      <c r="I250" s="4"/>
      <c r="J250" s="4"/>
      <c r="K250" s="4"/>
      <c r="L250" s="4"/>
      <c r="M250" s="4"/>
      <c r="N250" s="4"/>
      <c r="O250" s="4"/>
    </row>
  </sheetData>
  <mergeCells count="2">
    <mergeCell ref="C2:N2"/>
    <mergeCell ref="C3:N4"/>
  </mergeCells>
  <phoneticPr fontId="1" type="noConversion"/>
  <hyperlinks>
    <hyperlink ref="D240" r:id="rId1" display="https://learn.microsoft.com/en-us/azure/active-directory/authentication/concept-resilient-controls" xr:uid="{FDDF2A82-BF33-4565-97FA-1EA516CB6F0D}"/>
    <hyperlink ref="D244" r:id="rId2" display="https://docs.github.com/en/code-security/getting-started/securing-your-repository" xr:uid="{E6120EB1-68E2-44ED-BE3B-5355E9B5E51A}"/>
    <hyperlink ref="D245" r:id="rId3" display="https://docs.github.com/en/enterprise-cloud@latest/admin/policies/enforcing-policies-for-your-enterprise/enforcing-repository-management-policies-in-your-enterprise" xr:uid="{BDF2F9B2-BB01-4369-860C-E2BE2F00CA2E}"/>
    <hyperlink ref="D246" r:id="rId4" display="https://learn.microsoft.com/en-us/devops/operate/safe-deployment-practices" xr:uid="{F7F098AB-A9B9-42FF-9DCC-7FAC48B98091}"/>
    <hyperlink ref="C238" location="'1B Commitment, Blueprints'!A1" display="Refer to the Business Commitment Model for tier assignment to application criticality" xr:uid="{B2C890A7-CC15-42C0-81FA-32B0486A4A3B}"/>
    <hyperlink ref="D248" r:id="rId5" display="https://learn.microsoft.com/en-us/devops/operate/safe-deployment-practices" xr:uid="{ECAB3A5D-24D4-428B-B57F-8218DA70E760}"/>
    <hyperlink ref="C239" r:id="rId6" display="https://azure.microsoft.com/en-us/resources/resilience-in-azure-whitepaper/" xr:uid="{39669EAF-09E6-47FB-9278-D794B5457D80}"/>
  </hyperlinks>
  <pageMargins left="0.7" right="0.7" top="0.75" bottom="0.75" header="0.3" footer="0.3"/>
  <pageSetup orientation="portrait" r:id="rId7"/>
  <drawing r:id="rId8"/>
</worksheet>
</file>

<file path=docMetadata/LabelInfo.xml><?xml version="1.0" encoding="utf-8"?>
<clbl:labelList xmlns:clbl="http://schemas.microsoft.com/office/2020/mipLabelMetadata">
  <clbl:label id="{f42aa342-8706-4288-bd11-ebb85995028c}" enabled="1" method="Standard" siteId="{72f988bf-86f1-41af-91ab-2d7cd011db47}" removed="0"/>
</clbl:labelLis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1</cp:revision>
  <dcterms:created xsi:type="dcterms:W3CDTF">2023-08-11T00:18:32Z</dcterms:created>
  <dcterms:modified xsi:type="dcterms:W3CDTF">2023-08-21T13:15:13Z</dcterms:modified>
  <cp:category/>
  <cp:contentStatus/>
</cp:coreProperties>
</file>